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4.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D:\msn\Desktop\"/>
    </mc:Choice>
  </mc:AlternateContent>
  <xr:revisionPtr revIDLastSave="0" documentId="8_{EEDE276D-7BFE-4555-908E-15B4738BD5BA}" xr6:coauthVersionLast="47" xr6:coauthVersionMax="47" xr10:uidLastSave="{00000000-0000-0000-0000-000000000000}"/>
  <bookViews>
    <workbookView xWindow="-120" yWindow="-120" windowWidth="29040" windowHeight="15720" tabRatio="947" firstSheet="6" activeTab="10" xr2:uid="{EB7F46E0-8A97-4D7B-A6F3-4DD95DE58DB3}"/>
  </bookViews>
  <sheets>
    <sheet name="데이터입력" sheetId="1" state="hidden" r:id="rId1"/>
    <sheet name="예산작성자료(추경,다음년도)" sheetId="17" state="hidden" r:id="rId2"/>
    <sheet name="예산평균" sheetId="15" state="hidden" r:id="rId3"/>
    <sheet name="예산실적비교표" sheetId="2" state="hidden" r:id="rId4"/>
    <sheet name="예산업로드양식" sheetId="10" state="hidden" r:id="rId5"/>
    <sheet name="추경예산업로드양식(희망이음)" sheetId="18" state="hidden" r:id="rId6"/>
    <sheet name="표지" sheetId="3" r:id="rId7"/>
    <sheet name="예산총칙" sheetId="4" r:id="rId8"/>
    <sheet name="총괄표" sheetId="5" r:id="rId9"/>
    <sheet name="세입예산서" sheetId="6" r:id="rId10"/>
    <sheet name="세출예산서" sheetId="7" r:id="rId11"/>
    <sheet name="인건비,생계비현황" sheetId="16" state="hidden" r:id="rId12"/>
    <sheet name="차입금사전신고서" sheetId="9" state="hidden" r:id="rId13"/>
    <sheet name="운영충당적립금 계획서" sheetId="13" state="hidden" r:id="rId14"/>
    <sheet name="시설환경개선준비금 계획서" sheetId="14" state="hidden" r:id="rId15"/>
  </sheets>
  <definedNames>
    <definedName name="_xlnm.Print_Area" localSheetId="9">세입예산서!$A$1:$Y$184</definedName>
    <definedName name="_xlnm.Print_Area" localSheetId="10">세출예산서!$A$1:$Y$308</definedName>
    <definedName name="_xlnm.Print_Area" localSheetId="3">'인건비,생계비현황'!$A$1:$G$43</definedName>
    <definedName name="_xlnm.Print_Area" localSheetId="7">예산총칙!$B$2:$G$24</definedName>
    <definedName name="_xlnm.Print_Area" localSheetId="11">'인건비,생계비현황'!$A$1:$G$44</definedName>
    <definedName name="_xlnm.Print_Area" localSheetId="8">총괄표!$A$1:$N$18</definedName>
    <definedName name="_xlnm.Print_Area" localSheetId="6">표지!$A$2:$C$9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64" i="1" l="1"/>
  <c r="Y56" i="1"/>
  <c r="AE14" i="1" l="1"/>
  <c r="AF12" i="1"/>
  <c r="AE12" i="1"/>
  <c r="U32" i="1" l="1"/>
  <c r="AF118" i="6" s="1"/>
  <c r="AA118" i="6" s="1"/>
  <c r="U33" i="1"/>
  <c r="U31" i="1"/>
  <c r="B19" i="17" s="1"/>
  <c r="B21" i="17"/>
  <c r="AF117" i="6" l="1"/>
  <c r="AA117" i="6" s="1"/>
  <c r="AF119" i="6"/>
  <c r="AA119" i="6" s="1"/>
  <c r="B20" i="17"/>
  <c r="B15" i="17" l="1"/>
  <c r="A15" i="17"/>
  <c r="B17" i="17"/>
  <c r="A17" i="17"/>
  <c r="I9" i="17"/>
  <c r="AD65" i="1" l="1"/>
  <c r="AD66" i="1"/>
  <c r="AD67" i="1"/>
  <c r="AE13" i="15" l="1"/>
  <c r="AE14" i="15"/>
  <c r="AE15" i="15"/>
  <c r="AE16" i="15"/>
  <c r="AE17" i="15"/>
  <c r="AE18" i="15"/>
  <c r="AE12" i="15"/>
  <c r="F2" i="17" l="1"/>
  <c r="H2" i="17"/>
  <c r="B3" i="17"/>
  <c r="I5" i="17"/>
  <c r="C7" i="17"/>
  <c r="C8" i="17"/>
  <c r="C9" i="17"/>
  <c r="C10" i="17"/>
  <c r="C11" i="17"/>
  <c r="C12" i="17"/>
  <c r="E32" i="17"/>
  <c r="G55" i="17"/>
  <c r="I55" i="17" s="1"/>
  <c r="G56" i="17"/>
  <c r="I56" i="17" s="1"/>
  <c r="G57" i="17"/>
  <c r="AF6" i="1"/>
  <c r="T33" i="1" l="1"/>
  <c r="AD119" i="6" s="1"/>
  <c r="T32" i="1"/>
  <c r="AD118" i="6" s="1"/>
  <c r="T4" i="1"/>
  <c r="R30" i="1"/>
  <c r="T31" i="1"/>
  <c r="AD117" i="6" s="1"/>
  <c r="T30" i="1"/>
  <c r="I71" i="17"/>
  <c r="I74" i="17"/>
  <c r="I57" i="17"/>
  <c r="T26" i="1"/>
  <c r="T22" i="1"/>
  <c r="T20" i="1"/>
  <c r="T23" i="1"/>
  <c r="T25" i="1"/>
  <c r="T21" i="1"/>
  <c r="T24" i="1"/>
  <c r="T27" i="1"/>
  <c r="T19" i="1"/>
  <c r="F5" i="16"/>
  <c r="F6" i="16"/>
  <c r="F10" i="16"/>
  <c r="F7" i="16"/>
  <c r="F11" i="16"/>
  <c r="F8" i="16"/>
  <c r="F9" i="16"/>
  <c r="B1" i="17"/>
  <c r="O31" i="7"/>
  <c r="O29" i="7"/>
  <c r="O25" i="7"/>
  <c r="L28" i="7"/>
  <c r="L31" i="7" s="1"/>
  <c r="L25" i="7"/>
  <c r="L22" i="7"/>
  <c r="L27" i="7" s="1"/>
  <c r="C6" i="17" l="1"/>
  <c r="D4" i="17"/>
  <c r="A4" i="17"/>
  <c r="L29" i="7"/>
  <c r="L23" i="7"/>
  <c r="AR13" i="1" l="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90" i="1"/>
  <c r="AR91" i="1"/>
  <c r="AR92" i="1"/>
  <c r="AR93" i="1"/>
  <c r="AR94" i="1"/>
  <c r="AR95" i="1"/>
  <c r="AR96" i="1"/>
  <c r="AR97" i="1"/>
  <c r="AR98" i="1"/>
  <c r="AR99" i="1"/>
  <c r="AR100" i="1"/>
  <c r="AR101" i="1"/>
  <c r="AR102" i="1"/>
  <c r="AR103" i="1"/>
  <c r="AR104" i="1"/>
  <c r="AR105" i="1"/>
  <c r="AR106" i="1"/>
  <c r="AR107" i="1"/>
  <c r="AR108" i="1"/>
  <c r="AR109" i="1"/>
  <c r="AR110" i="1"/>
  <c r="AR111" i="1"/>
  <c r="AR112" i="1"/>
  <c r="AR113" i="1"/>
  <c r="AR114" i="1"/>
  <c r="AR115" i="1"/>
  <c r="AR116" i="1"/>
  <c r="AR117" i="1"/>
  <c r="AR118" i="1"/>
  <c r="AR119" i="1"/>
  <c r="AR120" i="1"/>
  <c r="AR121" i="1"/>
  <c r="AR122" i="1"/>
  <c r="AR123" i="1"/>
  <c r="AR124" i="1"/>
  <c r="AR125" i="1"/>
  <c r="AR126" i="1"/>
  <c r="AR127" i="1"/>
  <c r="AR128" i="1"/>
  <c r="AR129" i="1"/>
  <c r="AR130" i="1"/>
  <c r="AR131" i="1"/>
  <c r="AR132" i="1"/>
  <c r="AR133" i="1"/>
  <c r="AR134" i="1"/>
  <c r="AR135" i="1"/>
  <c r="AR136" i="1"/>
  <c r="AR137" i="1"/>
  <c r="AR138" i="1"/>
  <c r="AR139" i="1"/>
  <c r="AR140" i="1"/>
  <c r="AR141" i="1"/>
  <c r="AR142" i="1"/>
  <c r="AR143" i="1"/>
  <c r="AR144" i="1"/>
  <c r="AR145" i="1"/>
  <c r="AR146" i="1"/>
  <c r="AR147" i="1"/>
  <c r="AR148" i="1"/>
  <c r="AR149" i="1"/>
  <c r="AR150" i="1"/>
  <c r="AR151" i="1"/>
  <c r="AR152" i="1"/>
  <c r="AR153" i="1"/>
  <c r="AR154" i="1"/>
  <c r="AR155" i="1"/>
  <c r="AR156" i="1"/>
  <c r="AR157" i="1"/>
  <c r="AR158" i="1"/>
  <c r="AR159" i="1"/>
  <c r="AR160" i="1"/>
  <c r="AR161" i="1"/>
  <c r="AR162" i="1"/>
  <c r="AR163" i="1"/>
  <c r="AR164" i="1"/>
  <c r="AR165" i="1"/>
  <c r="AR166" i="1"/>
  <c r="AR167" i="1"/>
  <c r="AR168" i="1"/>
  <c r="AR169" i="1"/>
  <c r="AR170" i="1"/>
  <c r="AR171" i="1"/>
  <c r="AR172" i="1"/>
  <c r="AR173" i="1"/>
  <c r="AR174" i="1"/>
  <c r="AR175" i="1"/>
  <c r="AR176" i="1"/>
  <c r="AR177" i="1"/>
  <c r="AR178" i="1"/>
  <c r="AR179" i="1"/>
  <c r="AR180" i="1"/>
  <c r="AR181" i="1"/>
  <c r="AR182" i="1"/>
  <c r="AR183" i="1"/>
  <c r="AR184" i="1"/>
  <c r="AR185" i="1"/>
  <c r="AR186" i="1"/>
  <c r="AR187" i="1"/>
  <c r="AR188" i="1"/>
  <c r="AR189" i="1"/>
  <c r="AR190" i="1"/>
  <c r="AR191" i="1"/>
  <c r="AR192" i="1"/>
  <c r="AR193" i="1"/>
  <c r="AR194" i="1"/>
  <c r="AR195" i="1"/>
  <c r="AR196" i="1"/>
  <c r="AR197" i="1"/>
  <c r="AR198" i="1"/>
  <c r="AR199" i="1"/>
  <c r="AR200" i="1"/>
  <c r="AR201" i="1"/>
  <c r="AR202" i="1"/>
  <c r="AR203" i="1"/>
  <c r="AR204" i="1"/>
  <c r="AR205" i="1"/>
  <c r="AR206" i="1"/>
  <c r="AR207" i="1"/>
  <c r="AR208" i="1"/>
  <c r="AR209" i="1"/>
  <c r="AR210" i="1"/>
  <c r="AR211" i="1"/>
  <c r="AR212" i="1"/>
  <c r="AR213" i="1"/>
  <c r="AR214" i="1"/>
  <c r="AR215" i="1"/>
  <c r="AR216" i="1"/>
  <c r="AR217" i="1"/>
  <c r="AR218" i="1"/>
  <c r="AR219" i="1"/>
  <c r="AR220" i="1"/>
  <c r="AR221" i="1"/>
  <c r="AR222" i="1"/>
  <c r="AR223" i="1"/>
  <c r="AR224" i="1"/>
  <c r="AR225" i="1"/>
  <c r="AR226" i="1"/>
  <c r="AR227" i="1"/>
  <c r="AR228" i="1"/>
  <c r="AR229" i="1"/>
  <c r="AR230" i="1"/>
  <c r="AR231" i="1"/>
  <c r="AR232" i="1"/>
  <c r="AR233" i="1"/>
  <c r="AR234" i="1"/>
  <c r="AR235" i="1"/>
  <c r="AR236" i="1"/>
  <c r="AR237" i="1"/>
  <c r="AR238" i="1"/>
  <c r="AR239" i="1"/>
  <c r="AR240" i="1"/>
  <c r="AR241" i="1"/>
  <c r="AR242" i="1"/>
  <c r="AR243" i="1"/>
  <c r="AR244" i="1"/>
  <c r="AR245" i="1"/>
  <c r="AR246" i="1"/>
  <c r="AR247" i="1"/>
  <c r="AR248" i="1"/>
  <c r="AR249" i="1"/>
  <c r="AR250" i="1"/>
  <c r="AR251" i="1"/>
  <c r="AR252" i="1"/>
  <c r="AR253" i="1"/>
  <c r="AR254" i="1"/>
  <c r="AR255" i="1"/>
  <c r="AR256" i="1"/>
  <c r="AR257" i="1"/>
  <c r="AR258" i="1"/>
  <c r="AR259" i="1"/>
  <c r="AR260" i="1"/>
  <c r="AR261" i="1"/>
  <c r="AR262" i="1"/>
  <c r="AJ18" i="1" l="1"/>
  <c r="AJ19" i="1"/>
  <c r="AJ20" i="1"/>
  <c r="AJ21" i="1"/>
  <c r="AJ22" i="1"/>
  <c r="AJ23" i="1"/>
  <c r="T7" i="1" l="1"/>
  <c r="T8" i="1"/>
  <c r="T12" i="1"/>
  <c r="T16" i="1"/>
  <c r="T14" i="1"/>
  <c r="T15" i="1"/>
  <c r="T9" i="1"/>
  <c r="T13" i="1"/>
  <c r="T17" i="1"/>
  <c r="T10" i="1"/>
  <c r="T18" i="1"/>
  <c r="T11" i="1"/>
  <c r="T6" i="1"/>
  <c r="T5" i="1"/>
  <c r="AJ17" i="1"/>
  <c r="V28" i="1"/>
  <c r="V22" i="1"/>
  <c r="G10" i="17" s="1"/>
  <c r="V19" i="1"/>
  <c r="F12" i="17" s="1"/>
  <c r="V13" i="1"/>
  <c r="F8" i="17" s="1"/>
  <c r="V10" i="1"/>
  <c r="E8" i="17" s="1"/>
  <c r="V7" i="1"/>
  <c r="D10" i="17" s="1"/>
  <c r="V23" i="1" l="1"/>
  <c r="V24" i="1"/>
  <c r="AD78" i="1"/>
  <c r="AD75" i="1"/>
  <c r="U29" i="1"/>
  <c r="H10" i="17" s="1"/>
  <c r="L204" i="7"/>
  <c r="L205" i="7" s="1"/>
  <c r="R203" i="7"/>
  <c r="W199" i="7"/>
  <c r="X199" i="7"/>
  <c r="W196" i="7"/>
  <c r="X196" i="7"/>
  <c r="C33" i="16"/>
  <c r="L200" i="7"/>
  <c r="L197" i="7"/>
  <c r="L199" i="7"/>
  <c r="L196" i="7"/>
  <c r="L202" i="7" s="1"/>
  <c r="L203" i="7" s="1"/>
  <c r="L198" i="7" l="1"/>
  <c r="G72" i="17"/>
  <c r="I72" i="17" s="1"/>
  <c r="L201" i="7"/>
  <c r="G75" i="17"/>
  <c r="I75" i="17" s="1"/>
  <c r="AB8" i="1"/>
  <c r="E6" i="17" s="1"/>
  <c r="AF8" i="1"/>
  <c r="I6" i="17" s="1"/>
  <c r="AD8" i="1"/>
  <c r="G6" i="17" s="1"/>
  <c r="AI1" i="1"/>
  <c r="E3" i="17" s="1"/>
  <c r="AE1" i="1"/>
  <c r="H1" i="17" s="1"/>
  <c r="E1" i="17"/>
  <c r="C39" i="16" l="1"/>
  <c r="C32" i="16"/>
  <c r="C31" i="16"/>
  <c r="C30" i="16"/>
  <c r="C12" i="16"/>
  <c r="C11" i="16"/>
  <c r="C10" i="16"/>
  <c r="C9" i="16"/>
  <c r="C8" i="16"/>
  <c r="C7" i="16"/>
  <c r="C6" i="16"/>
  <c r="C5" i="16"/>
  <c r="X84" i="1"/>
  <c r="X85" i="1"/>
  <c r="G68" i="17" s="1"/>
  <c r="I68" i="17" s="1"/>
  <c r="X83" i="1"/>
  <c r="G66" i="17" s="1"/>
  <c r="I66" i="17" s="1"/>
  <c r="P123" i="1"/>
  <c r="AH77" i="1"/>
  <c r="R69" i="6"/>
  <c r="R70" i="6"/>
  <c r="R68" i="6"/>
  <c r="O203" i="7"/>
  <c r="O92" i="7"/>
  <c r="O83" i="7"/>
  <c r="O82" i="7"/>
  <c r="O102" i="7"/>
  <c r="O101" i="7"/>
  <c r="O113" i="7"/>
  <c r="O112" i="7"/>
  <c r="O123" i="7"/>
  <c r="O122" i="7"/>
  <c r="O140" i="7"/>
  <c r="O139" i="7"/>
  <c r="O150" i="7"/>
  <c r="O149" i="7"/>
  <c r="O155" i="7"/>
  <c r="O154" i="7"/>
  <c r="O168" i="7"/>
  <c r="O167" i="7"/>
  <c r="O174" i="7"/>
  <c r="O173" i="7"/>
  <c r="O187" i="7"/>
  <c r="O186" i="7"/>
  <c r="O192" i="7"/>
  <c r="O191" i="7"/>
  <c r="O221" i="7"/>
  <c r="O220" i="7"/>
  <c r="O253" i="7"/>
  <c r="O252" i="7"/>
  <c r="O234" i="7"/>
  <c r="O233" i="7"/>
  <c r="O239" i="7"/>
  <c r="O238" i="7"/>
  <c r="O271" i="7"/>
  <c r="O305" i="7"/>
  <c r="O302" i="7"/>
  <c r="O295" i="7"/>
  <c r="O291" i="7"/>
  <c r="O290" i="7"/>
  <c r="O289" i="7"/>
  <c r="O288" i="7"/>
  <c r="O287" i="7"/>
  <c r="O286" i="7"/>
  <c r="O285" i="7"/>
  <c r="O284" i="7"/>
  <c r="O283" i="7"/>
  <c r="O282" i="7"/>
  <c r="O278" i="7"/>
  <c r="O277" i="7"/>
  <c r="O275" i="7"/>
  <c r="O274" i="7"/>
  <c r="O270" i="7"/>
  <c r="O269" i="7"/>
  <c r="O266" i="7"/>
  <c r="O265" i="7"/>
  <c r="O263" i="7"/>
  <c r="O262" i="7"/>
  <c r="O259" i="7"/>
  <c r="O258" i="7"/>
  <c r="O256" i="7"/>
  <c r="O255" i="7"/>
  <c r="O237" i="7"/>
  <c r="O236" i="7"/>
  <c r="O232" i="7"/>
  <c r="O231" i="7"/>
  <c r="O230" i="7"/>
  <c r="O229" i="7"/>
  <c r="O228" i="7"/>
  <c r="O227" i="7"/>
  <c r="O226" i="7"/>
  <c r="O225" i="7"/>
  <c r="O224" i="7"/>
  <c r="O223" i="7"/>
  <c r="O219" i="7"/>
  <c r="O218" i="7"/>
  <c r="O217" i="7"/>
  <c r="O216" i="7"/>
  <c r="O215" i="7"/>
  <c r="O214" i="7"/>
  <c r="O213" i="7"/>
  <c r="O212" i="7"/>
  <c r="O211" i="7"/>
  <c r="O210" i="7"/>
  <c r="O201" i="7"/>
  <c r="O200" i="7"/>
  <c r="O197" i="7"/>
  <c r="O190" i="7"/>
  <c r="O189" i="7"/>
  <c r="O185" i="7"/>
  <c r="O184" i="7"/>
  <c r="O183" i="7"/>
  <c r="O182" i="7"/>
  <c r="O181" i="7"/>
  <c r="O180" i="7"/>
  <c r="O179" i="7"/>
  <c r="O178" i="7"/>
  <c r="O177" i="7"/>
  <c r="O176" i="7"/>
  <c r="O172" i="7"/>
  <c r="O171" i="7"/>
  <c r="O153" i="7"/>
  <c r="O152" i="7"/>
  <c r="O148" i="7"/>
  <c r="O147" i="7"/>
  <c r="O146" i="7"/>
  <c r="O145" i="7"/>
  <c r="O144" i="7"/>
  <c r="O143" i="7"/>
  <c r="O142" i="7"/>
  <c r="O138" i="7"/>
  <c r="O137" i="7"/>
  <c r="O136" i="7"/>
  <c r="O135" i="7"/>
  <c r="O134" i="7"/>
  <c r="O133" i="7"/>
  <c r="O129" i="7"/>
  <c r="O128" i="7"/>
  <c r="O127" i="7"/>
  <c r="O126" i="7"/>
  <c r="O121" i="7"/>
  <c r="O120" i="7"/>
  <c r="O119" i="7"/>
  <c r="O118" i="7"/>
  <c r="O117" i="7"/>
  <c r="O116" i="7"/>
  <c r="O115" i="7"/>
  <c r="O111" i="7"/>
  <c r="O110" i="7"/>
  <c r="O109" i="7"/>
  <c r="O108" i="7"/>
  <c r="O107" i="7"/>
  <c r="O106" i="7"/>
  <c r="O105" i="7"/>
  <c r="O100" i="7"/>
  <c r="O99" i="7"/>
  <c r="O98" i="7"/>
  <c r="O97" i="7"/>
  <c r="O96" i="7"/>
  <c r="O95" i="7"/>
  <c r="O94" i="7"/>
  <c r="O91" i="7"/>
  <c r="O90" i="7"/>
  <c r="O89" i="7"/>
  <c r="O88" i="7"/>
  <c r="O87" i="7"/>
  <c r="O86" i="7"/>
  <c r="O85" i="7"/>
  <c r="O78" i="7"/>
  <c r="O77" i="7"/>
  <c r="O76" i="7"/>
  <c r="O75" i="7"/>
  <c r="O52" i="7"/>
  <c r="O47" i="7"/>
  <c r="O41" i="7"/>
  <c r="O36" i="7"/>
  <c r="O23" i="7"/>
  <c r="O17" i="7"/>
  <c r="O12" i="7"/>
  <c r="O180" i="6"/>
  <c r="O179" i="6"/>
  <c r="O178" i="6"/>
  <c r="O177" i="6"/>
  <c r="O170" i="6"/>
  <c r="O167" i="6"/>
  <c r="O164" i="6"/>
  <c r="O141" i="6"/>
  <c r="O138" i="6"/>
  <c r="O135" i="6"/>
  <c r="O132" i="6"/>
  <c r="O128" i="6"/>
  <c r="O125" i="6"/>
  <c r="O121" i="6"/>
  <c r="O118" i="6"/>
  <c r="O115" i="6"/>
  <c r="O90" i="6"/>
  <c r="O89" i="6"/>
  <c r="O87" i="6"/>
  <c r="O86" i="6"/>
  <c r="O82" i="6"/>
  <c r="O81" i="6"/>
  <c r="O78" i="6"/>
  <c r="O77" i="6"/>
  <c r="O74" i="6"/>
  <c r="O73" i="6"/>
  <c r="O70" i="6"/>
  <c r="O69" i="6"/>
  <c r="O68" i="6"/>
  <c r="O62" i="6"/>
  <c r="O61" i="6"/>
  <c r="O58" i="6"/>
  <c r="O57" i="6"/>
  <c r="O54" i="6"/>
  <c r="O53" i="6"/>
  <c r="O50" i="6"/>
  <c r="O49" i="6"/>
  <c r="O45" i="6"/>
  <c r="O41" i="6"/>
  <c r="O37" i="6"/>
  <c r="O34" i="6"/>
  <c r="O31" i="6"/>
  <c r="L208" i="7"/>
  <c r="W208" i="7"/>
  <c r="AP11" i="1"/>
  <c r="AQ11" i="1"/>
  <c r="AS11" i="1"/>
  <c r="AU11" i="1"/>
  <c r="AP63" i="1"/>
  <c r="AQ63" i="1"/>
  <c r="AS63" i="1"/>
  <c r="AU63" i="1"/>
  <c r="L69" i="6" l="1"/>
  <c r="AH82" i="1" s="1"/>
  <c r="G67" i="17"/>
  <c r="I67" i="17" s="1"/>
  <c r="L70" i="6"/>
  <c r="AH83" i="1" s="1"/>
  <c r="L68" i="6"/>
  <c r="AH81" i="1" s="1"/>
  <c r="C38" i="16"/>
  <c r="C40" i="16" s="1"/>
  <c r="D40" i="16" s="1"/>
  <c r="C22" i="16"/>
  <c r="C15" i="16"/>
  <c r="C16" i="16"/>
  <c r="C17" i="16" l="1"/>
  <c r="AP65" i="1" l="1"/>
  <c r="BE21" i="1"/>
  <c r="AH16" i="1" l="1"/>
  <c r="X65" i="1"/>
  <c r="X66" i="1"/>
  <c r="X69" i="1"/>
  <c r="AP64" i="1"/>
  <c r="AL64" i="17" s="1"/>
  <c r="AQ64" i="1"/>
  <c r="AS64" i="1"/>
  <c r="AU64" i="1"/>
  <c r="AQ64" i="17" s="1"/>
  <c r="AL65" i="17"/>
  <c r="AQ65" i="1"/>
  <c r="AS65" i="1"/>
  <c r="AU65" i="1"/>
  <c r="AP66" i="1"/>
  <c r="AL66" i="17" s="1"/>
  <c r="AQ66" i="1"/>
  <c r="AM66" i="17" s="1"/>
  <c r="AS66" i="1"/>
  <c r="AO66" i="17" s="1"/>
  <c r="AU66" i="1"/>
  <c r="AP67" i="1"/>
  <c r="AL67" i="17" s="1"/>
  <c r="AQ67" i="1"/>
  <c r="AM67" i="17" s="1"/>
  <c r="AS67" i="1"/>
  <c r="AO67" i="17" s="1"/>
  <c r="AU67" i="1"/>
  <c r="AQ67" i="17" s="1"/>
  <c r="AP68" i="1"/>
  <c r="AL68" i="17" s="1"/>
  <c r="AQ68" i="1"/>
  <c r="AM68" i="17" s="1"/>
  <c r="AS68" i="1"/>
  <c r="AO68" i="17" s="1"/>
  <c r="AU68" i="1"/>
  <c r="AQ68" i="17" s="1"/>
  <c r="AP69" i="1"/>
  <c r="AL69" i="17" s="1"/>
  <c r="AQ69" i="1"/>
  <c r="AM69" i="17" s="1"/>
  <c r="AS69" i="1"/>
  <c r="AO69" i="17" s="1"/>
  <c r="AU69" i="1"/>
  <c r="AQ69" i="17" s="1"/>
  <c r="AP70" i="1"/>
  <c r="AQ70" i="1"/>
  <c r="AM70" i="17" s="1"/>
  <c r="AS70" i="1"/>
  <c r="AO70" i="17" s="1"/>
  <c r="AU70" i="1"/>
  <c r="AQ70" i="17" s="1"/>
  <c r="AP71" i="1"/>
  <c r="AL71" i="17" s="1"/>
  <c r="AQ71" i="1"/>
  <c r="AS71" i="1"/>
  <c r="AU71" i="1"/>
  <c r="AP72" i="1"/>
  <c r="AL72" i="17" s="1"/>
  <c r="AQ72" i="1"/>
  <c r="AM72" i="17" s="1"/>
  <c r="AS72" i="1"/>
  <c r="AU72" i="1"/>
  <c r="AQ72" i="17" s="1"/>
  <c r="AP73" i="1"/>
  <c r="AL73" i="17" s="1"/>
  <c r="AQ73" i="1"/>
  <c r="AS73" i="1"/>
  <c r="AU73" i="1"/>
  <c r="AQ73" i="17" s="1"/>
  <c r="AP74" i="1"/>
  <c r="AQ74" i="1"/>
  <c r="AM74" i="17" s="1"/>
  <c r="AS74" i="1"/>
  <c r="AO74" i="17" s="1"/>
  <c r="AU74" i="1"/>
  <c r="AQ74" i="17" s="1"/>
  <c r="AP75" i="1"/>
  <c r="AL75" i="17" s="1"/>
  <c r="AQ75" i="1"/>
  <c r="AM75" i="17" s="1"/>
  <c r="AS75" i="1"/>
  <c r="AO75" i="17" s="1"/>
  <c r="AU75" i="1"/>
  <c r="AQ75" i="17" s="1"/>
  <c r="AP76" i="1"/>
  <c r="AL76" i="17" s="1"/>
  <c r="AQ76" i="1"/>
  <c r="AM76" i="17" s="1"/>
  <c r="AS76" i="1"/>
  <c r="AO76" i="17" s="1"/>
  <c r="AU76" i="1"/>
  <c r="AQ76" i="17" s="1"/>
  <c r="AP77" i="1"/>
  <c r="AL77" i="17" s="1"/>
  <c r="AQ77" i="1"/>
  <c r="AM77" i="17" s="1"/>
  <c r="AS77" i="1"/>
  <c r="AU77" i="1"/>
  <c r="AQ77" i="17" s="1"/>
  <c r="AP78" i="1"/>
  <c r="AQ78" i="1"/>
  <c r="AM78" i="17" s="1"/>
  <c r="AS78" i="1"/>
  <c r="AU78" i="1"/>
  <c r="AQ78" i="17" s="1"/>
  <c r="AP79" i="1"/>
  <c r="AL79" i="17" s="1"/>
  <c r="AQ79" i="1"/>
  <c r="AS79" i="1"/>
  <c r="AU79" i="1"/>
  <c r="AP80" i="1"/>
  <c r="AL80" i="17" s="1"/>
  <c r="AQ80" i="1"/>
  <c r="AM80" i="17" s="1"/>
  <c r="AS80" i="1"/>
  <c r="AU80" i="1"/>
  <c r="AQ80" i="17" s="1"/>
  <c r="AP81" i="1"/>
  <c r="AL81" i="17" s="1"/>
  <c r="AQ81" i="1"/>
  <c r="AM81" i="17" s="1"/>
  <c r="AS81" i="1"/>
  <c r="AO81" i="17" s="1"/>
  <c r="AU81" i="1"/>
  <c r="AQ81" i="17" s="1"/>
  <c r="AP82" i="1"/>
  <c r="AL82" i="17" s="1"/>
  <c r="AQ82" i="1"/>
  <c r="AM82" i="17" s="1"/>
  <c r="AS82" i="1"/>
  <c r="AO82" i="17" s="1"/>
  <c r="AU82" i="1"/>
  <c r="AQ82" i="17" s="1"/>
  <c r="AP83" i="1"/>
  <c r="AL83" i="17" s="1"/>
  <c r="AQ83" i="1"/>
  <c r="AM83" i="17" s="1"/>
  <c r="AS83" i="1"/>
  <c r="AO83" i="17" s="1"/>
  <c r="AU83" i="1"/>
  <c r="AQ83" i="17" s="1"/>
  <c r="AP84" i="1"/>
  <c r="AL84" i="17" s="1"/>
  <c r="AQ84" i="1"/>
  <c r="AM84" i="17" s="1"/>
  <c r="AS84" i="1"/>
  <c r="AO84" i="17" s="1"/>
  <c r="AU84" i="1"/>
  <c r="AQ84" i="17" s="1"/>
  <c r="AL85" i="17"/>
  <c r="AQ85" i="1"/>
  <c r="AS85" i="1"/>
  <c r="AO85" i="17" s="1"/>
  <c r="AU85" i="1"/>
  <c r="AQ85" i="17" s="1"/>
  <c r="AL86" i="17"/>
  <c r="AQ86" i="1"/>
  <c r="AM86" i="17" s="1"/>
  <c r="AS86" i="1"/>
  <c r="AU86" i="1"/>
  <c r="AQ86" i="17" s="1"/>
  <c r="AL87" i="17"/>
  <c r="AQ87" i="1"/>
  <c r="AS87" i="1"/>
  <c r="AU87" i="1"/>
  <c r="AL88" i="17"/>
  <c r="AQ88" i="1"/>
  <c r="AM88" i="17" s="1"/>
  <c r="AS88" i="1"/>
  <c r="AU88" i="1"/>
  <c r="AQ88" i="17" s="1"/>
  <c r="AL89" i="17"/>
  <c r="AM89" i="17"/>
  <c r="AS89" i="1"/>
  <c r="AU89" i="1"/>
  <c r="AQ89" i="17" s="1"/>
  <c r="AP90" i="1"/>
  <c r="AL90" i="17" s="1"/>
  <c r="AQ90" i="1"/>
  <c r="AM90" i="17" s="1"/>
  <c r="AS90" i="1"/>
  <c r="AO90" i="17" s="1"/>
  <c r="AU90" i="1"/>
  <c r="AQ90" i="17" s="1"/>
  <c r="AP91" i="1"/>
  <c r="AL91" i="17" s="1"/>
  <c r="AQ91" i="1"/>
  <c r="AM91" i="17" s="1"/>
  <c r="AS91" i="1"/>
  <c r="AU91" i="1"/>
  <c r="AQ91" i="17" s="1"/>
  <c r="AP92" i="1"/>
  <c r="AL92" i="17" s="1"/>
  <c r="AQ92" i="1"/>
  <c r="AM92" i="17" s="1"/>
  <c r="AS92" i="1"/>
  <c r="AO92" i="17" s="1"/>
  <c r="AU92" i="1"/>
  <c r="AQ92" i="17" s="1"/>
  <c r="AP93" i="1"/>
  <c r="AL93" i="17" s="1"/>
  <c r="AQ93" i="1"/>
  <c r="AS93" i="1"/>
  <c r="AO93" i="17" s="1"/>
  <c r="AU93" i="1"/>
  <c r="AQ93" i="17" s="1"/>
  <c r="AP94" i="1"/>
  <c r="AL94" i="17" s="1"/>
  <c r="AQ94" i="1"/>
  <c r="AM94" i="17" s="1"/>
  <c r="AS94" i="1"/>
  <c r="AU94" i="1"/>
  <c r="AQ94" i="17" s="1"/>
  <c r="AP95" i="1"/>
  <c r="AL95" i="17" s="1"/>
  <c r="AQ95" i="1"/>
  <c r="AS95" i="1"/>
  <c r="AU95" i="1"/>
  <c r="AP96" i="1"/>
  <c r="AL96" i="17" s="1"/>
  <c r="AQ96" i="1"/>
  <c r="AM96" i="17" s="1"/>
  <c r="AS96" i="1"/>
  <c r="AU96" i="1"/>
  <c r="AQ96" i="17" s="1"/>
  <c r="AP97" i="1"/>
  <c r="AL97" i="17" s="1"/>
  <c r="AQ97" i="1"/>
  <c r="AS97" i="1"/>
  <c r="AO97" i="17" s="1"/>
  <c r="AU97" i="1"/>
  <c r="AQ97" i="17" s="1"/>
  <c r="AP98" i="1"/>
  <c r="AL98" i="17" s="1"/>
  <c r="AQ98" i="1"/>
  <c r="AM98" i="17" s="1"/>
  <c r="AS98" i="1"/>
  <c r="AO98" i="17" s="1"/>
  <c r="AU98" i="1"/>
  <c r="AQ98" i="17" s="1"/>
  <c r="AP99" i="1"/>
  <c r="AL99" i="17" s="1"/>
  <c r="AQ99" i="1"/>
  <c r="AM99" i="17" s="1"/>
  <c r="AS99" i="1"/>
  <c r="AU99" i="1"/>
  <c r="AQ99" i="17" s="1"/>
  <c r="AP100" i="1"/>
  <c r="AL100" i="17" s="1"/>
  <c r="AQ100" i="1"/>
  <c r="AM100" i="17" s="1"/>
  <c r="AS100" i="1"/>
  <c r="AO100" i="17" s="1"/>
  <c r="AU100" i="1"/>
  <c r="AQ100" i="17" s="1"/>
  <c r="AP101" i="1"/>
  <c r="AL101" i="17" s="1"/>
  <c r="AQ101" i="1"/>
  <c r="AM101" i="17" s="1"/>
  <c r="AS101" i="1"/>
  <c r="AO101" i="17" s="1"/>
  <c r="AU101" i="1"/>
  <c r="AQ101" i="17" s="1"/>
  <c r="AP102" i="1"/>
  <c r="AQ102" i="1"/>
  <c r="AM102" i="17" s="1"/>
  <c r="AS102" i="1"/>
  <c r="AU102" i="1"/>
  <c r="AP103" i="1"/>
  <c r="AL103" i="17" s="1"/>
  <c r="AQ103" i="1"/>
  <c r="AS103" i="1"/>
  <c r="AU103" i="1"/>
  <c r="AP104" i="1"/>
  <c r="AL104" i="17" s="1"/>
  <c r="AQ104" i="1"/>
  <c r="AS104" i="1"/>
  <c r="AU104" i="1"/>
  <c r="AQ104" i="17" s="1"/>
  <c r="AP105" i="1"/>
  <c r="AL105" i="17" s="1"/>
  <c r="AQ105" i="1"/>
  <c r="AS105" i="1"/>
  <c r="AO105" i="17" s="1"/>
  <c r="AU105" i="1"/>
  <c r="AQ105" i="17" s="1"/>
  <c r="AP106" i="1"/>
  <c r="AQ106" i="1"/>
  <c r="AM106" i="17" s="1"/>
  <c r="AS106" i="1"/>
  <c r="AO106" i="17" s="1"/>
  <c r="AU106" i="1"/>
  <c r="AQ106" i="17" s="1"/>
  <c r="AP107" i="1"/>
  <c r="AL107" i="17" s="1"/>
  <c r="AQ107" i="1"/>
  <c r="AM107" i="17" s="1"/>
  <c r="AS107" i="1"/>
  <c r="AO107" i="17" s="1"/>
  <c r="AU107" i="1"/>
  <c r="AQ107" i="17" s="1"/>
  <c r="AP108" i="1"/>
  <c r="AL108" i="17" s="1"/>
  <c r="AQ108" i="1"/>
  <c r="AM108" i="17" s="1"/>
  <c r="AS108" i="1"/>
  <c r="AO108" i="17" s="1"/>
  <c r="AU108" i="1"/>
  <c r="AQ108" i="17" s="1"/>
  <c r="AP109" i="1"/>
  <c r="AL109" i="17" s="1"/>
  <c r="AQ109" i="1"/>
  <c r="AM109" i="17" s="1"/>
  <c r="AS109" i="1"/>
  <c r="AO109" i="17" s="1"/>
  <c r="AU109" i="1"/>
  <c r="AQ109" i="17" s="1"/>
  <c r="AP110" i="1"/>
  <c r="AQ110" i="1"/>
  <c r="AM110" i="17" s="1"/>
  <c r="AS110" i="1"/>
  <c r="AO110" i="17" s="1"/>
  <c r="AU110" i="1"/>
  <c r="AQ110" i="17" s="1"/>
  <c r="AP111" i="1"/>
  <c r="AL111" i="17" s="1"/>
  <c r="AQ111" i="1"/>
  <c r="AS111" i="1"/>
  <c r="AU111" i="1"/>
  <c r="AP112" i="1"/>
  <c r="AL112" i="17" s="1"/>
  <c r="AQ112" i="1"/>
  <c r="AM112" i="17" s="1"/>
  <c r="AS112" i="1"/>
  <c r="AU112" i="1"/>
  <c r="AQ112" i="17" s="1"/>
  <c r="AP113" i="1"/>
  <c r="AL113" i="17" s="1"/>
  <c r="AQ113" i="1"/>
  <c r="AM113" i="17" s="1"/>
  <c r="AS113" i="1"/>
  <c r="AO113" i="17" s="1"/>
  <c r="AU113" i="1"/>
  <c r="AQ113" i="17" s="1"/>
  <c r="AP114" i="1"/>
  <c r="AQ114" i="1"/>
  <c r="AM114" i="17" s="1"/>
  <c r="AS114" i="1"/>
  <c r="AO114" i="17" s="1"/>
  <c r="AU114" i="1"/>
  <c r="AQ114" i="17" s="1"/>
  <c r="AP115" i="1"/>
  <c r="AL115" i="17" s="1"/>
  <c r="AQ115" i="1"/>
  <c r="AM115" i="17" s="1"/>
  <c r="AS115" i="1"/>
  <c r="AU115" i="1"/>
  <c r="AQ115" i="17" s="1"/>
  <c r="AP116" i="1"/>
  <c r="AL116" i="17" s="1"/>
  <c r="AQ116" i="1"/>
  <c r="AM116" i="17" s="1"/>
  <c r="AS116" i="1"/>
  <c r="AO116" i="17" s="1"/>
  <c r="AU116" i="1"/>
  <c r="AQ116" i="17" s="1"/>
  <c r="AP117" i="1"/>
  <c r="AL117" i="17" s="1"/>
  <c r="AQ117" i="1"/>
  <c r="AM117" i="17" s="1"/>
  <c r="AS117" i="1"/>
  <c r="AO117" i="17" s="1"/>
  <c r="AU117" i="1"/>
  <c r="AQ117" i="17" s="1"/>
  <c r="AP118" i="1"/>
  <c r="AQ118" i="1"/>
  <c r="AM118" i="17" s="1"/>
  <c r="AS118" i="1"/>
  <c r="AO118" i="17" s="1"/>
  <c r="AU118" i="1"/>
  <c r="AQ118" i="17" s="1"/>
  <c r="AP119" i="1"/>
  <c r="AL119" i="17" s="1"/>
  <c r="AQ119" i="1"/>
  <c r="AS119" i="1"/>
  <c r="AO119" i="17" s="1"/>
  <c r="AU119" i="1"/>
  <c r="AP120" i="1"/>
  <c r="AL120" i="17" s="1"/>
  <c r="AQ120" i="1"/>
  <c r="AM120" i="17" s="1"/>
  <c r="AS120" i="1"/>
  <c r="AU120" i="1"/>
  <c r="AQ120" i="17" s="1"/>
  <c r="AP121" i="1"/>
  <c r="AL121" i="17" s="1"/>
  <c r="AQ121" i="1"/>
  <c r="AM121" i="17" s="1"/>
  <c r="AS121" i="1"/>
  <c r="AO121" i="17" s="1"/>
  <c r="AU121" i="1"/>
  <c r="AQ121" i="17" s="1"/>
  <c r="AP122" i="1"/>
  <c r="AL122" i="17" s="1"/>
  <c r="AQ122" i="1"/>
  <c r="AM122" i="17" s="1"/>
  <c r="AS122" i="1"/>
  <c r="AO122" i="17" s="1"/>
  <c r="AU122" i="1"/>
  <c r="AP123" i="1"/>
  <c r="AL123" i="17" s="1"/>
  <c r="AQ123" i="1"/>
  <c r="AM123" i="17" s="1"/>
  <c r="AS123" i="1"/>
  <c r="AU123" i="1"/>
  <c r="AQ123" i="17" s="1"/>
  <c r="AP124" i="1"/>
  <c r="AL124" i="17" s="1"/>
  <c r="AQ124" i="1"/>
  <c r="AM124" i="17" s="1"/>
  <c r="AS124" i="1"/>
  <c r="AO124" i="17" s="1"/>
  <c r="AU124" i="1"/>
  <c r="AQ124" i="17" s="1"/>
  <c r="AP125" i="1"/>
  <c r="AL125" i="17" s="1"/>
  <c r="AQ125" i="1"/>
  <c r="AM125" i="17" s="1"/>
  <c r="AS125" i="1"/>
  <c r="AU125" i="1"/>
  <c r="AQ125" i="17" s="1"/>
  <c r="AP126" i="1"/>
  <c r="AQ126" i="1"/>
  <c r="AM126" i="17" s="1"/>
  <c r="AS126" i="1"/>
  <c r="AO126" i="17" s="1"/>
  <c r="AU126" i="1"/>
  <c r="AQ126" i="17" s="1"/>
  <c r="AP127" i="1"/>
  <c r="AL127" i="17" s="1"/>
  <c r="AQ127" i="1"/>
  <c r="AS127" i="1"/>
  <c r="AO127" i="17" s="1"/>
  <c r="AU127" i="1"/>
  <c r="AP128" i="1"/>
  <c r="AL128" i="17" s="1"/>
  <c r="AQ128" i="1"/>
  <c r="AM128" i="17" s="1"/>
  <c r="AS128" i="1"/>
  <c r="AU128" i="1"/>
  <c r="AQ128" i="17" s="1"/>
  <c r="AP129" i="1"/>
  <c r="AL129" i="17" s="1"/>
  <c r="AQ129" i="1"/>
  <c r="AM129" i="17" s="1"/>
  <c r="AS129" i="1"/>
  <c r="AU129" i="1"/>
  <c r="AQ129" i="17" s="1"/>
  <c r="AP130" i="1"/>
  <c r="AL130" i="17" s="1"/>
  <c r="AQ130" i="1"/>
  <c r="AM130" i="17" s="1"/>
  <c r="AS130" i="1"/>
  <c r="AO130" i="17" s="1"/>
  <c r="AU130" i="1"/>
  <c r="AP131" i="1"/>
  <c r="AL131" i="17" s="1"/>
  <c r="AQ131" i="1"/>
  <c r="AM131" i="17" s="1"/>
  <c r="AS131" i="1"/>
  <c r="AO131" i="17" s="1"/>
  <c r="AU131" i="1"/>
  <c r="AQ131" i="17" s="1"/>
  <c r="AP132" i="1"/>
  <c r="AL132" i="17" s="1"/>
  <c r="AQ132" i="1"/>
  <c r="AM132" i="17" s="1"/>
  <c r="AS132" i="1"/>
  <c r="AO132" i="17" s="1"/>
  <c r="AU132" i="1"/>
  <c r="AQ132" i="17" s="1"/>
  <c r="AP133" i="1"/>
  <c r="AQ133" i="1"/>
  <c r="AM133" i="17" s="1"/>
  <c r="AS133" i="1"/>
  <c r="AU133" i="1"/>
  <c r="AQ133" i="17" s="1"/>
  <c r="AP134" i="1"/>
  <c r="AL134" i="17" s="1"/>
  <c r="AQ134" i="1"/>
  <c r="AM134" i="17" s="1"/>
  <c r="AS134" i="1"/>
  <c r="AO134" i="17" s="1"/>
  <c r="AU134" i="1"/>
  <c r="AQ134" i="17" s="1"/>
  <c r="AP135" i="1"/>
  <c r="AL135" i="17" s="1"/>
  <c r="AQ135" i="1"/>
  <c r="AS135" i="1"/>
  <c r="AO135" i="17" s="1"/>
  <c r="AU135" i="1"/>
  <c r="AP136" i="1"/>
  <c r="AQ136" i="1"/>
  <c r="AM136" i="17" s="1"/>
  <c r="AS136" i="1"/>
  <c r="AU136" i="1"/>
  <c r="AQ136" i="17" s="1"/>
  <c r="AP137" i="1"/>
  <c r="AL137" i="17" s="1"/>
  <c r="AQ137" i="1"/>
  <c r="AM137" i="17" s="1"/>
  <c r="AS137" i="1"/>
  <c r="AO137" i="17" s="1"/>
  <c r="AU137" i="1"/>
  <c r="AQ137" i="17" s="1"/>
  <c r="AP138" i="1"/>
  <c r="AL138" i="17" s="1"/>
  <c r="AQ138" i="1"/>
  <c r="AM138" i="17" s="1"/>
  <c r="AS138" i="1"/>
  <c r="AO138" i="17" s="1"/>
  <c r="AU138" i="1"/>
  <c r="AQ138" i="17" s="1"/>
  <c r="AP139" i="1"/>
  <c r="AL139" i="17" s="1"/>
  <c r="AQ139" i="1"/>
  <c r="AM139" i="17" s="1"/>
  <c r="AS139" i="1"/>
  <c r="AO139" i="17" s="1"/>
  <c r="AU139" i="1"/>
  <c r="AQ139" i="17" s="1"/>
  <c r="AP140" i="1"/>
  <c r="AL140" i="17" s="1"/>
  <c r="AQ140" i="1"/>
  <c r="AM140" i="17" s="1"/>
  <c r="AS140" i="1"/>
  <c r="AU140" i="1"/>
  <c r="AQ140" i="17" s="1"/>
  <c r="AP141" i="1"/>
  <c r="AL141" i="17" s="1"/>
  <c r="AQ141" i="1"/>
  <c r="AM141" i="17" s="1"/>
  <c r="AS141" i="1"/>
  <c r="AO141" i="17" s="1"/>
  <c r="AU141" i="1"/>
  <c r="AQ141" i="17" s="1"/>
  <c r="AP142" i="1"/>
  <c r="AL142" i="17" s="1"/>
  <c r="AQ142" i="1"/>
  <c r="AM142" i="17" s="1"/>
  <c r="AS142" i="1"/>
  <c r="AO142" i="17" s="1"/>
  <c r="AU142" i="1"/>
  <c r="AQ142" i="17" s="1"/>
  <c r="AP143" i="1"/>
  <c r="AL143" i="17" s="1"/>
  <c r="AQ143" i="1"/>
  <c r="AS143" i="1"/>
  <c r="AO143" i="17" s="1"/>
  <c r="AU143" i="1"/>
  <c r="AP144" i="1"/>
  <c r="AL144" i="17" s="1"/>
  <c r="AQ144" i="1"/>
  <c r="AM144" i="17" s="1"/>
  <c r="AS144" i="1"/>
  <c r="AU144" i="1"/>
  <c r="AQ144" i="17" s="1"/>
  <c r="AP145" i="1"/>
  <c r="AL145" i="17" s="1"/>
  <c r="AQ145" i="1"/>
  <c r="AM145" i="17" s="1"/>
  <c r="AS145" i="1"/>
  <c r="AU145" i="1"/>
  <c r="AQ145" i="17" s="1"/>
  <c r="AP146" i="1"/>
  <c r="AL146" i="17" s="1"/>
  <c r="AQ146" i="1"/>
  <c r="AM146" i="17" s="1"/>
  <c r="AS146" i="1"/>
  <c r="AO146" i="17" s="1"/>
  <c r="AU146" i="1"/>
  <c r="AP147" i="1"/>
  <c r="AL147" i="17" s="1"/>
  <c r="AQ147" i="1"/>
  <c r="AM147" i="17" s="1"/>
  <c r="AS147" i="1"/>
  <c r="AU147" i="1"/>
  <c r="AQ147" i="17" s="1"/>
  <c r="AP148" i="1"/>
  <c r="AL148" i="17" s="1"/>
  <c r="AQ148" i="1"/>
  <c r="AM148" i="17" s="1"/>
  <c r="AS148" i="1"/>
  <c r="AO148" i="17" s="1"/>
  <c r="AU148" i="1"/>
  <c r="AQ148" i="17" s="1"/>
  <c r="AP149" i="1"/>
  <c r="AQ149" i="1"/>
  <c r="AM149" i="17" s="1"/>
  <c r="AS149" i="1"/>
  <c r="AU149" i="1"/>
  <c r="AQ149" i="17" s="1"/>
  <c r="AP150" i="1"/>
  <c r="AL150" i="17" s="1"/>
  <c r="AQ150" i="1"/>
  <c r="AM150" i="17" s="1"/>
  <c r="AS150" i="1"/>
  <c r="AO150" i="17" s="1"/>
  <c r="AU150" i="1"/>
  <c r="AQ150" i="17" s="1"/>
  <c r="AP151" i="1"/>
  <c r="AL151" i="17" s="1"/>
  <c r="AQ151" i="1"/>
  <c r="AS151" i="1"/>
  <c r="AU151" i="1"/>
  <c r="AP152" i="1"/>
  <c r="AL152" i="17" s="1"/>
  <c r="AQ152" i="1"/>
  <c r="AM152" i="17" s="1"/>
  <c r="AS152" i="1"/>
  <c r="AU152" i="1"/>
  <c r="AQ152" i="17" s="1"/>
  <c r="AP153" i="1"/>
  <c r="AL153" i="17" s="1"/>
  <c r="AQ153" i="1"/>
  <c r="AM153" i="17" s="1"/>
  <c r="AS153" i="1"/>
  <c r="AO153" i="17" s="1"/>
  <c r="AU153" i="1"/>
  <c r="AQ153" i="17" s="1"/>
  <c r="AP154" i="1"/>
  <c r="AL154" i="17" s="1"/>
  <c r="AQ154" i="1"/>
  <c r="AM154" i="17" s="1"/>
  <c r="AS154" i="1"/>
  <c r="AO154" i="17" s="1"/>
  <c r="AU154" i="1"/>
  <c r="AP155" i="1"/>
  <c r="AL155" i="17" s="1"/>
  <c r="AQ155" i="1"/>
  <c r="AM155" i="17" s="1"/>
  <c r="AS155" i="1"/>
  <c r="AO155" i="17" s="1"/>
  <c r="AU155" i="1"/>
  <c r="AQ155" i="17" s="1"/>
  <c r="AP156" i="1"/>
  <c r="AL156" i="17" s="1"/>
  <c r="AQ156" i="1"/>
  <c r="AM156" i="17" s="1"/>
  <c r="AS156" i="1"/>
  <c r="AU156" i="1"/>
  <c r="AQ156" i="17" s="1"/>
  <c r="AP157" i="1"/>
  <c r="AQ157" i="1"/>
  <c r="AM157" i="17" s="1"/>
  <c r="AS157" i="1"/>
  <c r="AO157" i="17" s="1"/>
  <c r="AU157" i="1"/>
  <c r="AQ157" i="17" s="1"/>
  <c r="AP158" i="1"/>
  <c r="AQ158" i="1"/>
  <c r="AM158" i="17" s="1"/>
  <c r="AS158" i="1"/>
  <c r="AO158" i="17" s="1"/>
  <c r="AU158" i="1"/>
  <c r="AQ158" i="17" s="1"/>
  <c r="AP159" i="1"/>
  <c r="AL159" i="17" s="1"/>
  <c r="AQ159" i="1"/>
  <c r="AS159" i="1"/>
  <c r="AO159" i="17" s="1"/>
  <c r="AU159" i="1"/>
  <c r="AP160" i="1"/>
  <c r="AL160" i="17" s="1"/>
  <c r="AQ160" i="1"/>
  <c r="AM160" i="17" s="1"/>
  <c r="AS160" i="1"/>
  <c r="AU160" i="1"/>
  <c r="AQ160" i="17" s="1"/>
  <c r="AP161" i="1"/>
  <c r="AL161" i="17" s="1"/>
  <c r="AQ161" i="1"/>
  <c r="AM161" i="17" s="1"/>
  <c r="AS161" i="1"/>
  <c r="AU161" i="1"/>
  <c r="AQ161" i="17" s="1"/>
  <c r="AP162" i="1"/>
  <c r="AQ162" i="1"/>
  <c r="AM162" i="17" s="1"/>
  <c r="AS162" i="1"/>
  <c r="AO162" i="17" s="1"/>
  <c r="AU162" i="1"/>
  <c r="AQ162" i="17" s="1"/>
  <c r="AP163" i="1"/>
  <c r="AL163" i="17" s="1"/>
  <c r="AQ163" i="1"/>
  <c r="AM163" i="17" s="1"/>
  <c r="AS163" i="1"/>
  <c r="AO163" i="17" s="1"/>
  <c r="AU163" i="1"/>
  <c r="AQ163" i="17" s="1"/>
  <c r="AP164" i="1"/>
  <c r="AQ164" i="1"/>
  <c r="AM164" i="17" s="1"/>
  <c r="AS164" i="1"/>
  <c r="AU164" i="1"/>
  <c r="AQ164" i="17" s="1"/>
  <c r="AP165" i="1"/>
  <c r="AQ165" i="1"/>
  <c r="AM165" i="17" s="1"/>
  <c r="AS165" i="1"/>
  <c r="AO165" i="17" s="1"/>
  <c r="AU165" i="1"/>
  <c r="AQ165" i="17" s="1"/>
  <c r="AP166" i="1"/>
  <c r="AL166" i="17" s="1"/>
  <c r="AQ166" i="1"/>
  <c r="AM166" i="17" s="1"/>
  <c r="AS166" i="1"/>
  <c r="AO166" i="17" s="1"/>
  <c r="AU166" i="1"/>
  <c r="AQ166" i="17" s="1"/>
  <c r="AP167" i="1"/>
  <c r="AL167" i="17" s="1"/>
  <c r="AQ167" i="1"/>
  <c r="AS167" i="1"/>
  <c r="AO167" i="17" s="1"/>
  <c r="AU167" i="1"/>
  <c r="AP168" i="1"/>
  <c r="AL168" i="17" s="1"/>
  <c r="AQ168" i="1"/>
  <c r="AM168" i="17" s="1"/>
  <c r="AS168" i="1"/>
  <c r="AU168" i="1"/>
  <c r="AQ168" i="17" s="1"/>
  <c r="AP169" i="1"/>
  <c r="AL169" i="17" s="1"/>
  <c r="AQ169" i="1"/>
  <c r="AM169" i="17" s="1"/>
  <c r="AS169" i="1"/>
  <c r="AU169" i="1"/>
  <c r="AQ169" i="17" s="1"/>
  <c r="AP170" i="1"/>
  <c r="AL170" i="17" s="1"/>
  <c r="AQ170" i="1"/>
  <c r="AM170" i="17" s="1"/>
  <c r="AS170" i="1"/>
  <c r="AO170" i="17" s="1"/>
  <c r="AU170" i="1"/>
  <c r="AP171" i="1"/>
  <c r="AL171" i="17" s="1"/>
  <c r="AQ171" i="1"/>
  <c r="AM171" i="17" s="1"/>
  <c r="AS171" i="1"/>
  <c r="AU171" i="1"/>
  <c r="AQ171" i="17" s="1"/>
  <c r="AP172" i="1"/>
  <c r="AL172" i="17" s="1"/>
  <c r="AQ172" i="1"/>
  <c r="AM172" i="17" s="1"/>
  <c r="AS172" i="1"/>
  <c r="AU172" i="1"/>
  <c r="AQ172" i="17" s="1"/>
  <c r="AP173" i="1"/>
  <c r="AQ173" i="1"/>
  <c r="AM173" i="17" s="1"/>
  <c r="AS173" i="1"/>
  <c r="AO173" i="17" s="1"/>
  <c r="AU173" i="1"/>
  <c r="AQ173" i="17" s="1"/>
  <c r="AP174" i="1"/>
  <c r="AL174" i="17" s="1"/>
  <c r="AQ174" i="1"/>
  <c r="AM174" i="17" s="1"/>
  <c r="AS174" i="1"/>
  <c r="AO174" i="17" s="1"/>
  <c r="AU174" i="1"/>
  <c r="AQ174" i="17" s="1"/>
  <c r="AP175" i="1"/>
  <c r="AL175" i="17" s="1"/>
  <c r="AQ175" i="1"/>
  <c r="AS175" i="1"/>
  <c r="AU175" i="1"/>
  <c r="AP176" i="1"/>
  <c r="AL176" i="17" s="1"/>
  <c r="AQ176" i="1"/>
  <c r="AM176" i="17" s="1"/>
  <c r="AS176" i="1"/>
  <c r="AU176" i="1"/>
  <c r="AQ176" i="17" s="1"/>
  <c r="AP177" i="1"/>
  <c r="AL177" i="17" s="1"/>
  <c r="AQ177" i="1"/>
  <c r="AM177" i="17" s="1"/>
  <c r="AS177" i="1"/>
  <c r="AU177" i="1"/>
  <c r="AQ177" i="17" s="1"/>
  <c r="AP178" i="1"/>
  <c r="AL178" i="17" s="1"/>
  <c r="AQ178" i="1"/>
  <c r="AM178" i="17" s="1"/>
  <c r="AS178" i="1"/>
  <c r="AO178" i="17" s="1"/>
  <c r="AU178" i="1"/>
  <c r="AQ178" i="17" s="1"/>
  <c r="AP179" i="1"/>
  <c r="AL179" i="17" s="1"/>
  <c r="AQ179" i="1"/>
  <c r="AM179" i="17" s="1"/>
  <c r="AS179" i="1"/>
  <c r="AU179" i="1"/>
  <c r="AQ179" i="17" s="1"/>
  <c r="AP180" i="1"/>
  <c r="AL180" i="17" s="1"/>
  <c r="AQ180" i="1"/>
  <c r="AM180" i="17" s="1"/>
  <c r="AS180" i="1"/>
  <c r="AU180" i="1"/>
  <c r="AP181" i="1"/>
  <c r="AQ181" i="1"/>
  <c r="AM181" i="17" s="1"/>
  <c r="AS181" i="1"/>
  <c r="AO181" i="17" s="1"/>
  <c r="AU181" i="1"/>
  <c r="AQ181" i="17" s="1"/>
  <c r="AP182" i="1"/>
  <c r="AL182" i="17" s="1"/>
  <c r="AQ182" i="1"/>
  <c r="AM182" i="17" s="1"/>
  <c r="AS182" i="1"/>
  <c r="AO182" i="17" s="1"/>
  <c r="AU182" i="1"/>
  <c r="AQ182" i="17" s="1"/>
  <c r="AP183" i="1"/>
  <c r="AL183" i="17" s="1"/>
  <c r="AQ183" i="1"/>
  <c r="AS183" i="1"/>
  <c r="AO183" i="17" s="1"/>
  <c r="AU183" i="1"/>
  <c r="AP184" i="1"/>
  <c r="AL184" i="17" s="1"/>
  <c r="AQ184" i="1"/>
  <c r="AM184" i="17" s="1"/>
  <c r="AS184" i="1"/>
  <c r="AU184" i="1"/>
  <c r="AQ184" i="17" s="1"/>
  <c r="AP185" i="1"/>
  <c r="AL185" i="17" s="1"/>
  <c r="AQ185" i="1"/>
  <c r="AM185" i="17" s="1"/>
  <c r="AS185" i="1"/>
  <c r="AO185" i="17" s="1"/>
  <c r="AU185" i="1"/>
  <c r="AQ185" i="17" s="1"/>
  <c r="AP186" i="1"/>
  <c r="AL186" i="17" s="1"/>
  <c r="AQ186" i="1"/>
  <c r="AM186" i="17" s="1"/>
  <c r="AS186" i="1"/>
  <c r="AO186" i="17" s="1"/>
  <c r="AU186" i="1"/>
  <c r="AQ186" i="17" s="1"/>
  <c r="AP187" i="1"/>
  <c r="AL187" i="17" s="1"/>
  <c r="AQ187" i="1"/>
  <c r="AM187" i="17" s="1"/>
  <c r="AS187" i="1"/>
  <c r="AO187" i="17" s="1"/>
  <c r="AU187" i="1"/>
  <c r="AQ187" i="17" s="1"/>
  <c r="AP188" i="1"/>
  <c r="AL188" i="17" s="1"/>
  <c r="AQ188" i="1"/>
  <c r="AM188" i="17" s="1"/>
  <c r="AS188" i="1"/>
  <c r="AO188" i="17" s="1"/>
  <c r="AU188" i="1"/>
  <c r="AP189" i="1"/>
  <c r="AQ189" i="1"/>
  <c r="AM189" i="17" s="1"/>
  <c r="AS189" i="1"/>
  <c r="AO189" i="17" s="1"/>
  <c r="AU189" i="1"/>
  <c r="AQ189" i="17" s="1"/>
  <c r="AP190" i="1"/>
  <c r="AL190" i="17" s="1"/>
  <c r="AQ190" i="1"/>
  <c r="AM190" i="17" s="1"/>
  <c r="AS190" i="1"/>
  <c r="AO190" i="17" s="1"/>
  <c r="AU190" i="1"/>
  <c r="AQ190" i="17" s="1"/>
  <c r="AP191" i="1"/>
  <c r="AL191" i="17" s="1"/>
  <c r="AQ191" i="1"/>
  <c r="AS191" i="1"/>
  <c r="AU191" i="1"/>
  <c r="AP192" i="1"/>
  <c r="AL192" i="17" s="1"/>
  <c r="AQ192" i="1"/>
  <c r="AM192" i="17" s="1"/>
  <c r="AS192" i="1"/>
  <c r="AU192" i="1"/>
  <c r="AQ192" i="17" s="1"/>
  <c r="AP193" i="1"/>
  <c r="AL193" i="17" s="1"/>
  <c r="AQ193" i="1"/>
  <c r="AM193" i="17" s="1"/>
  <c r="AS193" i="1"/>
  <c r="AU193" i="1"/>
  <c r="AQ193" i="17" s="1"/>
  <c r="AP194" i="1"/>
  <c r="AL194" i="17" s="1"/>
  <c r="AQ194" i="1"/>
  <c r="AM194" i="17" s="1"/>
  <c r="AS194" i="1"/>
  <c r="AU194" i="1"/>
  <c r="AQ194" i="17" s="1"/>
  <c r="AP195" i="1"/>
  <c r="AL195" i="17" s="1"/>
  <c r="AQ195" i="1"/>
  <c r="AM195" i="17" s="1"/>
  <c r="AS195" i="1"/>
  <c r="AO195" i="17" s="1"/>
  <c r="AU195" i="1"/>
  <c r="AQ195" i="17" s="1"/>
  <c r="AP196" i="1"/>
  <c r="AL196" i="17" s="1"/>
  <c r="AQ196" i="1"/>
  <c r="AM196" i="17" s="1"/>
  <c r="AS196" i="1"/>
  <c r="AU196" i="1"/>
  <c r="AP197" i="1"/>
  <c r="AQ197" i="1"/>
  <c r="AM197" i="17" s="1"/>
  <c r="AS197" i="1"/>
  <c r="AO197" i="17" s="1"/>
  <c r="AU197" i="1"/>
  <c r="AQ197" i="17" s="1"/>
  <c r="AP198" i="1"/>
  <c r="AL198" i="17" s="1"/>
  <c r="AQ198" i="1"/>
  <c r="AM198" i="17" s="1"/>
  <c r="AS198" i="1"/>
  <c r="AO198" i="17" s="1"/>
  <c r="AU198" i="1"/>
  <c r="AQ198" i="17" s="1"/>
  <c r="AP199" i="1"/>
  <c r="AL199" i="17" s="1"/>
  <c r="AQ199" i="1"/>
  <c r="AS199" i="1"/>
  <c r="AU199" i="1"/>
  <c r="AP200" i="1"/>
  <c r="AL200" i="17" s="1"/>
  <c r="AQ200" i="1"/>
  <c r="AM200" i="17" s="1"/>
  <c r="AS200" i="1"/>
  <c r="AU200" i="1"/>
  <c r="AQ200" i="17" s="1"/>
  <c r="AP201" i="1"/>
  <c r="AL201" i="17" s="1"/>
  <c r="AQ201" i="1"/>
  <c r="AM201" i="17" s="1"/>
  <c r="AS201" i="1"/>
  <c r="AO201" i="17" s="1"/>
  <c r="AU201" i="1"/>
  <c r="AP202" i="1"/>
  <c r="AL202" i="17" s="1"/>
  <c r="AQ202" i="1"/>
  <c r="AM202" i="17" s="1"/>
  <c r="AS202" i="1"/>
  <c r="AO202" i="17" s="1"/>
  <c r="AU202" i="1"/>
  <c r="AQ202" i="17" s="1"/>
  <c r="AP203" i="1"/>
  <c r="AL203" i="17" s="1"/>
  <c r="AQ203" i="1"/>
  <c r="AM203" i="17" s="1"/>
  <c r="AS203" i="1"/>
  <c r="AU203" i="1"/>
  <c r="AQ203" i="17" s="1"/>
  <c r="AP204" i="1"/>
  <c r="AL204" i="17" s="1"/>
  <c r="AQ204" i="1"/>
  <c r="AS204" i="1"/>
  <c r="AO204" i="17" s="1"/>
  <c r="AU204" i="1"/>
  <c r="AQ204" i="17" s="1"/>
  <c r="AP205" i="1"/>
  <c r="AQ205" i="1"/>
  <c r="AM205" i="17" s="1"/>
  <c r="AS205" i="1"/>
  <c r="AU205" i="1"/>
  <c r="AQ205" i="17" s="1"/>
  <c r="AP206" i="1"/>
  <c r="AL206" i="17" s="1"/>
  <c r="AQ206" i="1"/>
  <c r="AM206" i="17" s="1"/>
  <c r="AS206" i="1"/>
  <c r="AU206" i="1"/>
  <c r="AQ206" i="17" s="1"/>
  <c r="AP207" i="1"/>
  <c r="AL207" i="17" s="1"/>
  <c r="AQ207" i="1"/>
  <c r="AM207" i="17" s="1"/>
  <c r="AS207" i="1"/>
  <c r="AO207" i="17" s="1"/>
  <c r="AU207" i="1"/>
  <c r="AP208" i="1"/>
  <c r="AL208" i="17" s="1"/>
  <c r="AQ208" i="1"/>
  <c r="AM208" i="17" s="1"/>
  <c r="AS208" i="1"/>
  <c r="AU208" i="1"/>
  <c r="AQ208" i="17" s="1"/>
  <c r="AP209" i="1"/>
  <c r="AL209" i="17" s="1"/>
  <c r="AQ209" i="1"/>
  <c r="AM209" i="17" s="1"/>
  <c r="AS209" i="1"/>
  <c r="AO209" i="17" s="1"/>
  <c r="AU209" i="1"/>
  <c r="AQ209" i="17" s="1"/>
  <c r="AP210" i="1"/>
  <c r="AL210" i="17" s="1"/>
  <c r="AQ210" i="1"/>
  <c r="AM210" i="17" s="1"/>
  <c r="AS210" i="1"/>
  <c r="AU210" i="1"/>
  <c r="AP211" i="1"/>
  <c r="AL211" i="17" s="1"/>
  <c r="AQ211" i="1"/>
  <c r="AM211" i="17" s="1"/>
  <c r="AS211" i="1"/>
  <c r="AO211" i="17" s="1"/>
  <c r="AU211" i="1"/>
  <c r="AQ211" i="17" s="1"/>
  <c r="AP212" i="1"/>
  <c r="AL212" i="17" s="1"/>
  <c r="AQ212" i="1"/>
  <c r="AM212" i="17" s="1"/>
  <c r="AS212" i="1"/>
  <c r="AO212" i="17" s="1"/>
  <c r="AU212" i="1"/>
  <c r="AQ212" i="17" s="1"/>
  <c r="AP213" i="1"/>
  <c r="AL213" i="17" s="1"/>
  <c r="AQ213" i="1"/>
  <c r="AM213" i="17" s="1"/>
  <c r="AS213" i="1"/>
  <c r="AU213" i="1"/>
  <c r="AQ213" i="17" s="1"/>
  <c r="AP214" i="1"/>
  <c r="AL214" i="17" s="1"/>
  <c r="AQ214" i="1"/>
  <c r="AM214" i="17" s="1"/>
  <c r="AS214" i="1"/>
  <c r="AO214" i="17" s="1"/>
  <c r="AU214" i="1"/>
  <c r="AQ214" i="17" s="1"/>
  <c r="AP215" i="1"/>
  <c r="AL215" i="17" s="1"/>
  <c r="AQ215" i="1"/>
  <c r="AS215" i="1"/>
  <c r="AO215" i="17" s="1"/>
  <c r="AU215" i="1"/>
  <c r="AP216" i="1"/>
  <c r="AL216" i="17" s="1"/>
  <c r="AQ216" i="1"/>
  <c r="AM216" i="17" s="1"/>
  <c r="AS216" i="1"/>
  <c r="AU216" i="1"/>
  <c r="AQ216" i="17" s="1"/>
  <c r="AP217" i="1"/>
  <c r="AL217" i="17" s="1"/>
  <c r="AQ217" i="1"/>
  <c r="AS217" i="1"/>
  <c r="AO217" i="17" s="1"/>
  <c r="AU217" i="1"/>
  <c r="AQ217" i="17" s="1"/>
  <c r="AP218" i="1"/>
  <c r="AL218" i="17" s="1"/>
  <c r="AQ218" i="1"/>
  <c r="AM218" i="17" s="1"/>
  <c r="AS218" i="1"/>
  <c r="AU218" i="1"/>
  <c r="AQ218" i="17" s="1"/>
  <c r="AP219" i="1"/>
  <c r="AL219" i="17" s="1"/>
  <c r="AQ219" i="1"/>
  <c r="AM219" i="17" s="1"/>
  <c r="AS219" i="1"/>
  <c r="AO219" i="17" s="1"/>
  <c r="AU219" i="1"/>
  <c r="AQ219" i="17" s="1"/>
  <c r="AP220" i="1"/>
  <c r="AL220" i="17" s="1"/>
  <c r="AQ220" i="1"/>
  <c r="AM220" i="17" s="1"/>
  <c r="AS220" i="1"/>
  <c r="AU220" i="1"/>
  <c r="AQ220" i="17" s="1"/>
  <c r="AP221" i="1"/>
  <c r="AQ221" i="1"/>
  <c r="AM221" i="17" s="1"/>
  <c r="AS221" i="1"/>
  <c r="AO221" i="17" s="1"/>
  <c r="AU221" i="1"/>
  <c r="AQ221" i="17" s="1"/>
  <c r="AP222" i="1"/>
  <c r="AQ222" i="1"/>
  <c r="AM222" i="17" s="1"/>
  <c r="AS222" i="1"/>
  <c r="AO222" i="17" s="1"/>
  <c r="AU222" i="1"/>
  <c r="AQ222" i="17" s="1"/>
  <c r="AP223" i="1"/>
  <c r="AL223" i="17" s="1"/>
  <c r="AQ223" i="1"/>
  <c r="AS223" i="1"/>
  <c r="AO223" i="17" s="1"/>
  <c r="AU223" i="1"/>
  <c r="AP224" i="1"/>
  <c r="AL224" i="17" s="1"/>
  <c r="AQ224" i="1"/>
  <c r="AM224" i="17" s="1"/>
  <c r="AS224" i="1"/>
  <c r="AU224" i="1"/>
  <c r="AQ224" i="17" s="1"/>
  <c r="AP225" i="1"/>
  <c r="AL225" i="17" s="1"/>
  <c r="AQ225" i="1"/>
  <c r="AM225" i="17" s="1"/>
  <c r="AS225" i="1"/>
  <c r="AU225" i="1"/>
  <c r="AQ225" i="17" s="1"/>
  <c r="AP226" i="1"/>
  <c r="AL226" i="17" s="1"/>
  <c r="AQ226" i="1"/>
  <c r="AM226" i="17" s="1"/>
  <c r="AS226" i="1"/>
  <c r="AO226" i="17" s="1"/>
  <c r="AU226" i="1"/>
  <c r="AQ226" i="17" s="1"/>
  <c r="AP227" i="1"/>
  <c r="AL227" i="17" s="1"/>
  <c r="AQ227" i="1"/>
  <c r="AM227" i="17" s="1"/>
  <c r="AS227" i="1"/>
  <c r="AO227" i="17" s="1"/>
  <c r="AU227" i="1"/>
  <c r="AQ227" i="17" s="1"/>
  <c r="AP228" i="1"/>
  <c r="AL228" i="17" s="1"/>
  <c r="AQ228" i="1"/>
  <c r="AM228" i="17" s="1"/>
  <c r="AS228" i="1"/>
  <c r="AO228" i="17" s="1"/>
  <c r="AU228" i="1"/>
  <c r="AQ228" i="17" s="1"/>
  <c r="AP229" i="1"/>
  <c r="AQ229" i="1"/>
  <c r="AM229" i="17" s="1"/>
  <c r="AS229" i="1"/>
  <c r="AU229" i="1"/>
  <c r="AQ229" i="17" s="1"/>
  <c r="AP230" i="1"/>
  <c r="AL230" i="17" s="1"/>
  <c r="AQ230" i="1"/>
  <c r="AM230" i="17" s="1"/>
  <c r="AS230" i="1"/>
  <c r="AO230" i="17" s="1"/>
  <c r="AU230" i="1"/>
  <c r="AQ230" i="17" s="1"/>
  <c r="AP231" i="1"/>
  <c r="AL231" i="17" s="1"/>
  <c r="AQ231" i="1"/>
  <c r="AS231" i="1"/>
  <c r="AO231" i="17" s="1"/>
  <c r="AU231" i="1"/>
  <c r="AP232" i="1"/>
  <c r="AL232" i="17" s="1"/>
  <c r="AQ232" i="1"/>
  <c r="AS232" i="1"/>
  <c r="AU232" i="1"/>
  <c r="AQ232" i="17" s="1"/>
  <c r="AP233" i="1"/>
  <c r="AL233" i="17" s="1"/>
  <c r="AQ233" i="1"/>
  <c r="AM233" i="17" s="1"/>
  <c r="AS233" i="1"/>
  <c r="AU233" i="1"/>
  <c r="AQ233" i="17" s="1"/>
  <c r="AP234" i="1"/>
  <c r="AL234" i="17" s="1"/>
  <c r="AQ234" i="1"/>
  <c r="AM234" i="17" s="1"/>
  <c r="AS234" i="1"/>
  <c r="AO234" i="17" s="1"/>
  <c r="AU234" i="1"/>
  <c r="AQ234" i="17" s="1"/>
  <c r="AP235" i="1"/>
  <c r="AL235" i="17" s="1"/>
  <c r="AQ235" i="1"/>
  <c r="AS235" i="1"/>
  <c r="AO235" i="17" s="1"/>
  <c r="AU235" i="1"/>
  <c r="AQ235" i="17" s="1"/>
  <c r="AP236" i="1"/>
  <c r="AL236" i="17" s="1"/>
  <c r="AQ236" i="1"/>
  <c r="AM236" i="17" s="1"/>
  <c r="AS236" i="1"/>
  <c r="AU236" i="1"/>
  <c r="AQ236" i="17" s="1"/>
  <c r="AP237" i="1"/>
  <c r="AL237" i="17" s="1"/>
  <c r="AQ237" i="1"/>
  <c r="AM237" i="17" s="1"/>
  <c r="AS237" i="1"/>
  <c r="AU237" i="1"/>
  <c r="AQ237" i="17" s="1"/>
  <c r="AP238" i="1"/>
  <c r="AL238" i="17" s="1"/>
  <c r="AQ238" i="1"/>
  <c r="AM238" i="17" s="1"/>
  <c r="AS238" i="1"/>
  <c r="AO238" i="17" s="1"/>
  <c r="AU238" i="1"/>
  <c r="AQ238" i="17" s="1"/>
  <c r="AP239" i="1"/>
  <c r="AL239" i="17" s="1"/>
  <c r="AQ239" i="1"/>
  <c r="AM239" i="17" s="1"/>
  <c r="AS239" i="1"/>
  <c r="AO239" i="17" s="1"/>
  <c r="AU239" i="1"/>
  <c r="AQ239" i="17" s="1"/>
  <c r="AP240" i="1"/>
  <c r="AL240" i="17" s="1"/>
  <c r="AQ240" i="1"/>
  <c r="AM240" i="17" s="1"/>
  <c r="AS240" i="1"/>
  <c r="AO240" i="17" s="1"/>
  <c r="AU240" i="1"/>
  <c r="AQ240" i="17" s="1"/>
  <c r="AP241" i="1"/>
  <c r="AL241" i="17" s="1"/>
  <c r="AQ241" i="1"/>
  <c r="AM241" i="17" s="1"/>
  <c r="AS241" i="1"/>
  <c r="AU241" i="1"/>
  <c r="AQ241" i="17" s="1"/>
  <c r="AP242" i="1"/>
  <c r="AL242" i="17" s="1"/>
  <c r="AQ242" i="1"/>
  <c r="AM242" i="17" s="1"/>
  <c r="AS242" i="1"/>
  <c r="AO242" i="17" s="1"/>
  <c r="AU242" i="1"/>
  <c r="AQ242" i="17" s="1"/>
  <c r="AP243" i="1"/>
  <c r="AL243" i="17" s="1"/>
  <c r="AQ243" i="1"/>
  <c r="AM243" i="17" s="1"/>
  <c r="AS243" i="1"/>
  <c r="AO243" i="17" s="1"/>
  <c r="AU243" i="1"/>
  <c r="AQ243" i="17" s="1"/>
  <c r="AP244" i="1"/>
  <c r="AL244" i="17" s="1"/>
  <c r="AQ244" i="1"/>
  <c r="AM244" i="17" s="1"/>
  <c r="AS244" i="1"/>
  <c r="AO244" i="17" s="1"/>
  <c r="AU244" i="1"/>
  <c r="AQ244" i="17" s="1"/>
  <c r="AP245" i="1"/>
  <c r="AL245" i="17" s="1"/>
  <c r="AQ245" i="1"/>
  <c r="AM245" i="17" s="1"/>
  <c r="AS245" i="1"/>
  <c r="AU245" i="1"/>
  <c r="AQ245" i="17" s="1"/>
  <c r="AP246" i="1"/>
  <c r="AL246" i="17" s="1"/>
  <c r="AQ246" i="1"/>
  <c r="AM246" i="17" s="1"/>
  <c r="AS246" i="1"/>
  <c r="AO246" i="17" s="1"/>
  <c r="AU246" i="1"/>
  <c r="AQ246" i="17" s="1"/>
  <c r="AP247" i="1"/>
  <c r="AL247" i="17" s="1"/>
  <c r="AQ247" i="1"/>
  <c r="AM247" i="17" s="1"/>
  <c r="AS247" i="1"/>
  <c r="AO247" i="17" s="1"/>
  <c r="AU247" i="1"/>
  <c r="AQ247" i="17" s="1"/>
  <c r="AP248" i="1"/>
  <c r="AQ248" i="1"/>
  <c r="AM248" i="17" s="1"/>
  <c r="AS248" i="1"/>
  <c r="AO248" i="17" s="1"/>
  <c r="AU248" i="1"/>
  <c r="AQ248" i="17" s="1"/>
  <c r="AP249" i="1"/>
  <c r="AL249" i="17" s="1"/>
  <c r="AQ249" i="1"/>
  <c r="AM249" i="17" s="1"/>
  <c r="AS249" i="1"/>
  <c r="AU249" i="1"/>
  <c r="AQ249" i="17" s="1"/>
  <c r="AP250" i="1"/>
  <c r="AQ250" i="1"/>
  <c r="AM250" i="17" s="1"/>
  <c r="AS250" i="1"/>
  <c r="AO250" i="17" s="1"/>
  <c r="AU250" i="1"/>
  <c r="AQ250" i="17" s="1"/>
  <c r="AP251" i="1"/>
  <c r="AL251" i="17" s="1"/>
  <c r="AQ251" i="1"/>
  <c r="AM251" i="17" s="1"/>
  <c r="AS251" i="1"/>
  <c r="AU251" i="1"/>
  <c r="AQ251" i="17" s="1"/>
  <c r="AP252" i="1"/>
  <c r="AL252" i="17" s="1"/>
  <c r="AQ252" i="1"/>
  <c r="AM252" i="17" s="1"/>
  <c r="AS252" i="1"/>
  <c r="AO252" i="17" s="1"/>
  <c r="AU252" i="1"/>
  <c r="AQ252" i="17" s="1"/>
  <c r="AP253" i="1"/>
  <c r="AL253" i="17" s="1"/>
  <c r="AQ253" i="1"/>
  <c r="AM253" i="17" s="1"/>
  <c r="AS253" i="1"/>
  <c r="AO253" i="17" s="1"/>
  <c r="AU253" i="1"/>
  <c r="AQ253" i="17" s="1"/>
  <c r="AP254" i="1"/>
  <c r="AL254" i="17" s="1"/>
  <c r="AQ254" i="1"/>
  <c r="AM254" i="17" s="1"/>
  <c r="AS254" i="1"/>
  <c r="AO254" i="17" s="1"/>
  <c r="AU254" i="1"/>
  <c r="AQ254" i="17" s="1"/>
  <c r="AP255" i="1"/>
  <c r="AL255" i="17" s="1"/>
  <c r="AQ255" i="1"/>
  <c r="AM255" i="17" s="1"/>
  <c r="AS255" i="1"/>
  <c r="AO255" i="17" s="1"/>
  <c r="AU255" i="1"/>
  <c r="AQ255" i="17" s="1"/>
  <c r="AP256" i="1"/>
  <c r="AQ256" i="1"/>
  <c r="AM256" i="17" s="1"/>
  <c r="AS256" i="1"/>
  <c r="AU256" i="1"/>
  <c r="AQ256" i="17" s="1"/>
  <c r="AP257" i="1"/>
  <c r="AL257" i="17" s="1"/>
  <c r="AQ257" i="1"/>
  <c r="AM257" i="17" s="1"/>
  <c r="AS257" i="1"/>
  <c r="AU257" i="1"/>
  <c r="AQ257" i="17" s="1"/>
  <c r="AP258" i="1"/>
  <c r="AL258" i="17" s="1"/>
  <c r="AQ258" i="1"/>
  <c r="AM258" i="17" s="1"/>
  <c r="AS258" i="1"/>
  <c r="AO258" i="17" s="1"/>
  <c r="AU258" i="1"/>
  <c r="AP259" i="1"/>
  <c r="AL259" i="17" s="1"/>
  <c r="AQ259" i="1"/>
  <c r="AM259" i="17" s="1"/>
  <c r="AS259" i="1"/>
  <c r="AO259" i="17" s="1"/>
  <c r="AU259" i="1"/>
  <c r="AQ259" i="17" s="1"/>
  <c r="AP260" i="1"/>
  <c r="AL260" i="17" s="1"/>
  <c r="AQ260" i="1"/>
  <c r="AM260" i="17" s="1"/>
  <c r="AS260" i="1"/>
  <c r="AO260" i="17" s="1"/>
  <c r="AU260" i="1"/>
  <c r="AQ260" i="17" s="1"/>
  <c r="AP261" i="1"/>
  <c r="AL261" i="17" s="1"/>
  <c r="AQ261" i="1"/>
  <c r="AM261" i="17" s="1"/>
  <c r="AS261" i="1"/>
  <c r="AU261" i="1"/>
  <c r="AQ261" i="17" s="1"/>
  <c r="AP262" i="1"/>
  <c r="AL262" i="17" s="1"/>
  <c r="AQ262" i="1"/>
  <c r="AM262" i="17" s="1"/>
  <c r="AS262" i="1"/>
  <c r="AO262" i="17" s="1"/>
  <c r="AU262" i="1"/>
  <c r="AQ262" i="17" s="1"/>
  <c r="AM63" i="17"/>
  <c r="AL63" i="17"/>
  <c r="AP12" i="1"/>
  <c r="AQ12" i="1"/>
  <c r="AM12" i="17" s="1"/>
  <c r="AS12" i="1"/>
  <c r="AU12" i="1"/>
  <c r="AQ12" i="17" s="1"/>
  <c r="AP13" i="1"/>
  <c r="AQ13" i="1"/>
  <c r="AM13" i="17" s="1"/>
  <c r="AS13" i="1"/>
  <c r="AO13" i="17" s="1"/>
  <c r="AU13" i="1"/>
  <c r="AQ13" i="17" s="1"/>
  <c r="AP14" i="1"/>
  <c r="AQ14" i="1"/>
  <c r="AM14" i="17" s="1"/>
  <c r="AS14" i="1"/>
  <c r="AU14" i="1"/>
  <c r="AQ14" i="17" s="1"/>
  <c r="AP15" i="1"/>
  <c r="AQ15" i="1"/>
  <c r="AM15" i="17" s="1"/>
  <c r="AS15" i="1"/>
  <c r="AO15" i="17" s="1"/>
  <c r="AU15" i="1"/>
  <c r="AQ15" i="17" s="1"/>
  <c r="AP16" i="1"/>
  <c r="AQ16" i="1"/>
  <c r="AM16" i="17" s="1"/>
  <c r="AS16" i="1"/>
  <c r="AU16" i="1"/>
  <c r="AQ16" i="17" s="1"/>
  <c r="AP17" i="1"/>
  <c r="AL17" i="17" s="1"/>
  <c r="AQ17" i="1"/>
  <c r="AM17" i="17" s="1"/>
  <c r="AS17" i="1"/>
  <c r="AO17" i="17" s="1"/>
  <c r="AU17" i="1"/>
  <c r="AQ17" i="17" s="1"/>
  <c r="AP18" i="1"/>
  <c r="AQ18" i="1"/>
  <c r="AM18" i="17" s="1"/>
  <c r="AS18" i="1"/>
  <c r="AU18" i="1"/>
  <c r="AQ18" i="17" s="1"/>
  <c r="AP19" i="1"/>
  <c r="AL19" i="17" s="1"/>
  <c r="AQ19" i="1"/>
  <c r="AM19" i="17" s="1"/>
  <c r="AS19" i="1"/>
  <c r="AO19" i="17" s="1"/>
  <c r="AU19" i="1"/>
  <c r="AQ19" i="17" s="1"/>
  <c r="AP20" i="1"/>
  <c r="AL20" i="17" s="1"/>
  <c r="AQ20" i="1"/>
  <c r="AM20" i="17" s="1"/>
  <c r="AS20" i="1"/>
  <c r="AU20" i="1"/>
  <c r="AQ20" i="17" s="1"/>
  <c r="AP21" i="1"/>
  <c r="AL21" i="17" s="1"/>
  <c r="AQ21" i="1"/>
  <c r="AM21" i="17" s="1"/>
  <c r="AS21" i="1"/>
  <c r="AO21" i="17" s="1"/>
  <c r="AU21" i="1"/>
  <c r="AQ21" i="17" s="1"/>
  <c r="AP22" i="1"/>
  <c r="AL22" i="17" s="1"/>
  <c r="AQ22" i="1"/>
  <c r="AM22" i="17" s="1"/>
  <c r="AS22" i="1"/>
  <c r="AU22" i="1"/>
  <c r="AQ22" i="17" s="1"/>
  <c r="AP23" i="1"/>
  <c r="AL23" i="17" s="1"/>
  <c r="AQ23" i="1"/>
  <c r="AM23" i="17" s="1"/>
  <c r="AS23" i="1"/>
  <c r="AO23" i="17" s="1"/>
  <c r="AU23" i="1"/>
  <c r="AQ23" i="17" s="1"/>
  <c r="AP24" i="1"/>
  <c r="AL24" i="17" s="1"/>
  <c r="AQ24" i="1"/>
  <c r="AM24" i="17" s="1"/>
  <c r="AS24" i="1"/>
  <c r="AU24" i="1"/>
  <c r="AQ24" i="17" s="1"/>
  <c r="AP25" i="1"/>
  <c r="AL25" i="17" s="1"/>
  <c r="AQ25" i="1"/>
  <c r="AM25" i="17" s="1"/>
  <c r="AS25" i="1"/>
  <c r="AO25" i="17" s="1"/>
  <c r="AU25" i="1"/>
  <c r="AQ25" i="17" s="1"/>
  <c r="AP26" i="1"/>
  <c r="AL26" i="17" s="1"/>
  <c r="AQ26" i="1"/>
  <c r="AM26" i="17" s="1"/>
  <c r="AS26" i="1"/>
  <c r="AO26" i="17" s="1"/>
  <c r="AU26" i="1"/>
  <c r="AQ26" i="17" s="1"/>
  <c r="AP27" i="1"/>
  <c r="AL27" i="17" s="1"/>
  <c r="AQ27" i="1"/>
  <c r="AM27" i="17" s="1"/>
  <c r="AS27" i="1"/>
  <c r="AO27" i="17" s="1"/>
  <c r="AU27" i="1"/>
  <c r="AQ27" i="17" s="1"/>
  <c r="AP28" i="1"/>
  <c r="AL28" i="17" s="1"/>
  <c r="AQ28" i="1"/>
  <c r="AM28" i="17" s="1"/>
  <c r="AS28" i="1"/>
  <c r="AU28" i="1"/>
  <c r="AQ28" i="17" s="1"/>
  <c r="AP29" i="1"/>
  <c r="AL29" i="17" s="1"/>
  <c r="AQ29" i="1"/>
  <c r="AM29" i="17" s="1"/>
  <c r="AS29" i="1"/>
  <c r="AO29" i="17" s="1"/>
  <c r="AU29" i="1"/>
  <c r="AQ29" i="17" s="1"/>
  <c r="AP30" i="1"/>
  <c r="AL30" i="17" s="1"/>
  <c r="AQ30" i="1"/>
  <c r="AM30" i="17" s="1"/>
  <c r="AS30" i="1"/>
  <c r="AU30" i="1"/>
  <c r="AQ30" i="17" s="1"/>
  <c r="AP31" i="1"/>
  <c r="AL31" i="17" s="1"/>
  <c r="AQ31" i="1"/>
  <c r="AM31" i="17" s="1"/>
  <c r="AS31" i="1"/>
  <c r="AO31" i="17" s="1"/>
  <c r="AU31" i="1"/>
  <c r="AQ31" i="17" s="1"/>
  <c r="AP32" i="1"/>
  <c r="AL32" i="17" s="1"/>
  <c r="AQ32" i="1"/>
  <c r="AM32" i="17" s="1"/>
  <c r="AS32" i="1"/>
  <c r="AU32" i="1"/>
  <c r="AQ32" i="17" s="1"/>
  <c r="AP33" i="1"/>
  <c r="AL33" i="17" s="1"/>
  <c r="AQ33" i="1"/>
  <c r="AM33" i="17" s="1"/>
  <c r="AS33" i="1"/>
  <c r="AU33" i="1"/>
  <c r="AQ33" i="17" s="1"/>
  <c r="AP34" i="1"/>
  <c r="AL34" i="17" s="1"/>
  <c r="AQ34" i="1"/>
  <c r="AM34" i="17" s="1"/>
  <c r="AS34" i="1"/>
  <c r="AU34" i="1"/>
  <c r="AQ34" i="17" s="1"/>
  <c r="AP35" i="1"/>
  <c r="AL35" i="17" s="1"/>
  <c r="AQ35" i="1"/>
  <c r="AM35" i="17" s="1"/>
  <c r="AS35" i="1"/>
  <c r="AU35" i="1"/>
  <c r="AQ35" i="17" s="1"/>
  <c r="AP36" i="1"/>
  <c r="AL36" i="17" s="1"/>
  <c r="AQ36" i="1"/>
  <c r="AM36" i="17" s="1"/>
  <c r="AS36" i="1"/>
  <c r="AU36" i="1"/>
  <c r="AQ36" i="17" s="1"/>
  <c r="AP37" i="1"/>
  <c r="AL37" i="17" s="1"/>
  <c r="AQ37" i="1"/>
  <c r="AM37" i="17" s="1"/>
  <c r="AS37" i="1"/>
  <c r="AO37" i="17" s="1"/>
  <c r="AU37" i="1"/>
  <c r="AQ37" i="17" s="1"/>
  <c r="AP38" i="1"/>
  <c r="AL38" i="17" s="1"/>
  <c r="AQ38" i="1"/>
  <c r="AM38" i="17" s="1"/>
  <c r="AS38" i="1"/>
  <c r="AU38" i="1"/>
  <c r="AQ38" i="17" s="1"/>
  <c r="AP39" i="1"/>
  <c r="AL39" i="17" s="1"/>
  <c r="AQ39" i="1"/>
  <c r="AM39" i="17" s="1"/>
  <c r="AS39" i="1"/>
  <c r="AO39" i="17" s="1"/>
  <c r="AU39" i="1"/>
  <c r="AQ39" i="17" s="1"/>
  <c r="AP40" i="1"/>
  <c r="AL40" i="17" s="1"/>
  <c r="AQ40" i="1"/>
  <c r="AM40" i="17" s="1"/>
  <c r="AS40" i="1"/>
  <c r="AU40" i="1"/>
  <c r="AQ40" i="17" s="1"/>
  <c r="AP41" i="1"/>
  <c r="AL41" i="17" s="1"/>
  <c r="AQ41" i="1"/>
  <c r="AM41" i="17" s="1"/>
  <c r="AS41" i="1"/>
  <c r="AU41" i="1"/>
  <c r="AQ41" i="17" s="1"/>
  <c r="AP42" i="1"/>
  <c r="AL42" i="17" s="1"/>
  <c r="AQ42" i="1"/>
  <c r="AM42" i="17" s="1"/>
  <c r="AS42" i="1"/>
  <c r="AU42" i="1"/>
  <c r="AQ42" i="17" s="1"/>
  <c r="AP43" i="1"/>
  <c r="AL43" i="17" s="1"/>
  <c r="AQ43" i="1"/>
  <c r="AM43" i="17" s="1"/>
  <c r="AS43" i="1"/>
  <c r="AU43" i="1"/>
  <c r="AQ43" i="17" s="1"/>
  <c r="AP44" i="1"/>
  <c r="AL44" i="17" s="1"/>
  <c r="AQ44" i="1"/>
  <c r="AM44" i="17" s="1"/>
  <c r="AS44" i="1"/>
  <c r="AU44" i="1"/>
  <c r="AQ44" i="17" s="1"/>
  <c r="AP45" i="1"/>
  <c r="AL45" i="17" s="1"/>
  <c r="AQ45" i="1"/>
  <c r="AM45" i="17" s="1"/>
  <c r="AS45" i="1"/>
  <c r="AO45" i="17" s="1"/>
  <c r="AU45" i="1"/>
  <c r="AQ45" i="17" s="1"/>
  <c r="AP46" i="1"/>
  <c r="AL46" i="17" s="1"/>
  <c r="AQ46" i="1"/>
  <c r="AM46" i="17" s="1"/>
  <c r="AS46" i="1"/>
  <c r="AO46" i="17" s="1"/>
  <c r="AU46" i="1"/>
  <c r="AQ46" i="17" s="1"/>
  <c r="AP47" i="1"/>
  <c r="AL47" i="17" s="1"/>
  <c r="AQ47" i="1"/>
  <c r="AM47" i="17" s="1"/>
  <c r="AS47" i="1"/>
  <c r="AO47" i="17" s="1"/>
  <c r="AU47" i="1"/>
  <c r="AQ47" i="17" s="1"/>
  <c r="AP48" i="1"/>
  <c r="AL48" i="17" s="1"/>
  <c r="AQ48" i="1"/>
  <c r="AM48" i="17" s="1"/>
  <c r="AS48" i="1"/>
  <c r="AU48" i="1"/>
  <c r="AQ48" i="17" s="1"/>
  <c r="AP49" i="1"/>
  <c r="AL49" i="17" s="1"/>
  <c r="AQ49" i="1"/>
  <c r="AM49" i="17" s="1"/>
  <c r="AS49" i="1"/>
  <c r="AU49" i="1"/>
  <c r="AQ49" i="17" s="1"/>
  <c r="AP50" i="1"/>
  <c r="AL50" i="17" s="1"/>
  <c r="AQ50" i="1"/>
  <c r="AM50" i="17" s="1"/>
  <c r="AS50" i="1"/>
  <c r="AO50" i="17" s="1"/>
  <c r="AU50" i="1"/>
  <c r="AQ50" i="17" s="1"/>
  <c r="AP51" i="1"/>
  <c r="AL51" i="17" s="1"/>
  <c r="AQ51" i="1"/>
  <c r="AM51" i="17" s="1"/>
  <c r="AS51" i="1"/>
  <c r="AO51" i="17" s="1"/>
  <c r="AU51" i="1"/>
  <c r="AQ51" i="17" s="1"/>
  <c r="AP52" i="1"/>
  <c r="AL52" i="17" s="1"/>
  <c r="AQ52" i="1"/>
  <c r="AM52" i="17" s="1"/>
  <c r="AS52" i="1"/>
  <c r="AO52" i="17" s="1"/>
  <c r="AU52" i="1"/>
  <c r="AQ52" i="17" s="1"/>
  <c r="AP53" i="1"/>
  <c r="AL53" i="17" s="1"/>
  <c r="AQ53" i="1"/>
  <c r="AM53" i="17" s="1"/>
  <c r="AS53" i="1"/>
  <c r="AO53" i="17" s="1"/>
  <c r="AU53" i="1"/>
  <c r="AQ53" i="17" s="1"/>
  <c r="AP54" i="1"/>
  <c r="AL54" i="17" s="1"/>
  <c r="AQ54" i="1"/>
  <c r="AM54" i="17" s="1"/>
  <c r="AS54" i="1"/>
  <c r="AO54" i="17" s="1"/>
  <c r="AU54" i="1"/>
  <c r="AQ54" i="17" s="1"/>
  <c r="AP55" i="1"/>
  <c r="AL55" i="17" s="1"/>
  <c r="AQ55" i="1"/>
  <c r="AM55" i="17" s="1"/>
  <c r="AS55" i="1"/>
  <c r="AU55" i="1"/>
  <c r="AQ55" i="17" s="1"/>
  <c r="AP56" i="1"/>
  <c r="AL56" i="17" s="1"/>
  <c r="AQ56" i="1"/>
  <c r="AM56" i="17" s="1"/>
  <c r="AS56" i="1"/>
  <c r="AO56" i="17" s="1"/>
  <c r="AU56" i="1"/>
  <c r="AQ56" i="17" s="1"/>
  <c r="AP57" i="1"/>
  <c r="AL57" i="17" s="1"/>
  <c r="AQ57" i="1"/>
  <c r="AM57" i="17" s="1"/>
  <c r="AS57" i="1"/>
  <c r="AU57" i="1"/>
  <c r="AQ57" i="17" s="1"/>
  <c r="AP58" i="1"/>
  <c r="AL58" i="17" s="1"/>
  <c r="AQ58" i="1"/>
  <c r="AM58" i="17" s="1"/>
  <c r="AS58" i="1"/>
  <c r="AU58" i="1"/>
  <c r="AQ58" i="17" s="1"/>
  <c r="AP59" i="1"/>
  <c r="AL59" i="17" s="1"/>
  <c r="AQ59" i="1"/>
  <c r="AM59" i="17" s="1"/>
  <c r="AS59" i="1"/>
  <c r="AU59" i="1"/>
  <c r="AQ59" i="17" s="1"/>
  <c r="AP60" i="1"/>
  <c r="AL60" i="17" s="1"/>
  <c r="AQ60" i="1"/>
  <c r="AM60" i="17" s="1"/>
  <c r="AS60" i="1"/>
  <c r="AO60" i="17" s="1"/>
  <c r="AU60" i="1"/>
  <c r="AQ60" i="17" s="1"/>
  <c r="AM65" i="17"/>
  <c r="AO65" i="17"/>
  <c r="AQ65" i="17"/>
  <c r="AQ66" i="17"/>
  <c r="AL70" i="17"/>
  <c r="AM73" i="17"/>
  <c r="AL74" i="17"/>
  <c r="AL78" i="17"/>
  <c r="AM85" i="17"/>
  <c r="AO86" i="17"/>
  <c r="AM93" i="17"/>
  <c r="AM97" i="17"/>
  <c r="AL102" i="17"/>
  <c r="AQ102" i="17"/>
  <c r="AM104" i="17"/>
  <c r="AM105" i="17"/>
  <c r="AL106" i="17"/>
  <c r="AL110" i="17"/>
  <c r="AL114" i="17"/>
  <c r="AL118" i="17"/>
  <c r="AQ122" i="17"/>
  <c r="AL126" i="17"/>
  <c r="AQ130" i="17"/>
  <c r="AL136" i="17"/>
  <c r="AQ146" i="17"/>
  <c r="AO151" i="17"/>
  <c r="AQ154" i="17"/>
  <c r="AL158" i="17"/>
  <c r="AL162" i="17"/>
  <c r="AL164" i="17"/>
  <c r="AO169" i="17"/>
  <c r="AQ170" i="17"/>
  <c r="AO175" i="17"/>
  <c r="AQ180" i="17"/>
  <c r="AQ188" i="17"/>
  <c r="AO193" i="17"/>
  <c r="AO194" i="17"/>
  <c r="AQ196" i="17"/>
  <c r="AQ201" i="17"/>
  <c r="AM204" i="17"/>
  <c r="AO210" i="17"/>
  <c r="AQ210" i="17"/>
  <c r="AM217" i="17"/>
  <c r="AL222" i="17"/>
  <c r="AM232" i="17"/>
  <c r="AM235" i="17"/>
  <c r="AL250" i="17"/>
  <c r="AO251" i="17"/>
  <c r="AQ258" i="17"/>
  <c r="AO20" i="17"/>
  <c r="AM11" i="17"/>
  <c r="AE2" i="1"/>
  <c r="L40" i="1" l="1"/>
  <c r="L34" i="1"/>
  <c r="L26" i="1"/>
  <c r="AI18" i="1"/>
  <c r="J3" i="16"/>
  <c r="E3" i="16" s="1"/>
  <c r="AI22" i="1"/>
  <c r="AI23" i="1"/>
  <c r="AI21" i="1"/>
  <c r="AI19" i="1"/>
  <c r="AI17" i="1"/>
  <c r="AI20" i="1"/>
  <c r="AO63" i="17"/>
  <c r="AQ63" i="17"/>
  <c r="AQ11" i="17"/>
  <c r="AD13" i="1"/>
  <c r="AB13" i="1"/>
  <c r="AD14" i="1"/>
  <c r="AB14" i="1"/>
  <c r="AV7" i="1" s="1"/>
  <c r="AV4" i="1" s="1"/>
  <c r="AD12" i="1"/>
  <c r="AW4" i="1" s="1"/>
  <c r="AB12" i="1"/>
  <c r="P97" i="1"/>
  <c r="P47" i="1"/>
  <c r="AR1" i="1"/>
  <c r="AZ192" i="1"/>
  <c r="BA192" i="1" s="1"/>
  <c r="B6" i="17"/>
  <c r="B10" i="17"/>
  <c r="B9" i="17"/>
  <c r="B8" i="17"/>
  <c r="B7" i="17"/>
  <c r="B12" i="17"/>
  <c r="B11" i="17"/>
  <c r="AL18" i="17"/>
  <c r="AL14" i="17"/>
  <c r="AL15" i="17"/>
  <c r="AL16" i="17"/>
  <c r="AL13" i="17"/>
  <c r="AL12" i="17"/>
  <c r="AL11" i="17"/>
  <c r="B20" i="16"/>
  <c r="AZ222" i="1"/>
  <c r="BA222" i="1" s="1"/>
  <c r="AM64" i="17"/>
  <c r="Y31" i="1"/>
  <c r="AO256" i="17"/>
  <c r="AZ232" i="1"/>
  <c r="BA232" i="1" s="1"/>
  <c r="BD63" i="1"/>
  <c r="Y27" i="1" s="1"/>
  <c r="P30" i="1" s="1"/>
  <c r="U30" i="1" s="1"/>
  <c r="AZ250" i="1"/>
  <c r="BA250" i="1" s="1"/>
  <c r="AO203" i="17"/>
  <c r="AZ203" i="1"/>
  <c r="BA203" i="1" s="1"/>
  <c r="AZ199" i="1"/>
  <c r="BA199" i="1" s="1"/>
  <c r="AO199" i="17"/>
  <c r="AZ196" i="1"/>
  <c r="BA196" i="1" s="1"/>
  <c r="AO196" i="17"/>
  <c r="AO220" i="17"/>
  <c r="AZ219" i="1"/>
  <c r="BA219" i="1" s="1"/>
  <c r="AZ260" i="1"/>
  <c r="BA260" i="1" s="1"/>
  <c r="AZ235" i="1"/>
  <c r="BA235" i="1" s="1"/>
  <c r="AZ189" i="1"/>
  <c r="BA189" i="1" s="1"/>
  <c r="AZ247" i="1"/>
  <c r="AZ208" i="1"/>
  <c r="BA208" i="1" s="1"/>
  <c r="AZ202" i="1"/>
  <c r="BA202" i="1" s="1"/>
  <c r="AZ197" i="1"/>
  <c r="AO123" i="17"/>
  <c r="AO73" i="17"/>
  <c r="AZ177" i="1"/>
  <c r="BA177" i="1" s="1"/>
  <c r="AZ153" i="1"/>
  <c r="BA153" i="1" s="1"/>
  <c r="AZ149" i="1"/>
  <c r="BA149" i="1" s="1"/>
  <c r="AO149" i="17"/>
  <c r="AZ52" i="1"/>
  <c r="AZ58" i="1"/>
  <c r="AO58" i="17"/>
  <c r="AO35" i="17"/>
  <c r="AO177" i="17"/>
  <c r="AO41" i="17"/>
  <c r="AZ123" i="1"/>
  <c r="BA123" i="1" s="1"/>
  <c r="AZ45" i="1"/>
  <c r="AO102" i="17"/>
  <c r="AZ25" i="1"/>
  <c r="AZ165" i="1"/>
  <c r="BA165" i="1" s="1"/>
  <c r="AZ18" i="1"/>
  <c r="AZ157" i="1"/>
  <c r="BA157" i="1" s="1"/>
  <c r="AZ102" i="1"/>
  <c r="BA102" i="1" s="1"/>
  <c r="AZ42" i="1"/>
  <c r="AZ34" i="1"/>
  <c r="AZ259" i="1"/>
  <c r="AO241" i="17"/>
  <c r="AZ133" i="1"/>
  <c r="BA133" i="1" s="1"/>
  <c r="AO133" i="17"/>
  <c r="AZ93" i="1"/>
  <c r="BA93" i="1" s="1"/>
  <c r="AZ193" i="1"/>
  <c r="BA193" i="1" s="1"/>
  <c r="AO147" i="17"/>
  <c r="AO115" i="17"/>
  <c r="AZ38" i="1"/>
  <c r="AZ248" i="1"/>
  <c r="BA248" i="1" s="1"/>
  <c r="AZ224" i="1"/>
  <c r="BA224" i="1" s="1"/>
  <c r="AZ105" i="1"/>
  <c r="BA105" i="1" s="1"/>
  <c r="AO24" i="17"/>
  <c r="AZ24" i="1"/>
  <c r="AO206" i="17"/>
  <c r="AZ206" i="1"/>
  <c r="BA206" i="1" s="1"/>
  <c r="AO171" i="17"/>
  <c r="AO111" i="17"/>
  <c r="AZ111" i="1"/>
  <c r="BA111" i="1" s="1"/>
  <c r="AO89" i="17"/>
  <c r="AO77" i="17"/>
  <c r="AZ28" i="1"/>
  <c r="AZ227" i="1"/>
  <c r="AZ216" i="1"/>
  <c r="BA216" i="1" s="1"/>
  <c r="AZ186" i="1"/>
  <c r="BA186" i="1" s="1"/>
  <c r="AZ178" i="1"/>
  <c r="BA178" i="1" s="1"/>
  <c r="AZ117" i="1"/>
  <c r="AZ57" i="1"/>
  <c r="AZ251" i="1"/>
  <c r="BA251" i="1" s="1"/>
  <c r="AZ236" i="1"/>
  <c r="BA236" i="1" s="1"/>
  <c r="AZ228" i="1"/>
  <c r="BA228" i="1" s="1"/>
  <c r="AZ198" i="1"/>
  <c r="BA198" i="1" s="1"/>
  <c r="AZ173" i="1"/>
  <c r="AZ169" i="1"/>
  <c r="AZ109" i="1"/>
  <c r="BA109" i="1" s="1"/>
  <c r="AZ16" i="1"/>
  <c r="AZ262" i="1"/>
  <c r="BA262" i="1" s="1"/>
  <c r="AZ214" i="1"/>
  <c r="BA214" i="1" s="1"/>
  <c r="AZ211" i="1"/>
  <c r="BA211" i="1" s="1"/>
  <c r="AZ141" i="1"/>
  <c r="BA141" i="1" s="1"/>
  <c r="AZ137" i="1"/>
  <c r="AZ116" i="1"/>
  <c r="BA116" i="1" s="1"/>
  <c r="AZ56" i="1"/>
  <c r="AZ50" i="1"/>
  <c r="AZ36" i="1"/>
  <c r="BA36" i="1" s="1"/>
  <c r="AO36" i="17"/>
  <c r="AZ26" i="1"/>
  <c r="BA26" i="1" s="1"/>
  <c r="AZ240" i="1"/>
  <c r="BA240" i="1" s="1"/>
  <c r="AO59" i="17"/>
  <c r="AZ59" i="1"/>
  <c r="AZ252" i="1"/>
  <c r="BA252" i="1" s="1"/>
  <c r="AZ212" i="1"/>
  <c r="BA212" i="1" s="1"/>
  <c r="AZ54" i="1"/>
  <c r="AZ48" i="1"/>
  <c r="AZ33" i="1"/>
  <c r="BA33" i="1" s="1"/>
  <c r="AO33" i="17"/>
  <c r="AZ22" i="1"/>
  <c r="AZ204" i="1"/>
  <c r="BA204" i="1" s="1"/>
  <c r="AZ161" i="1"/>
  <c r="BA161" i="1" s="1"/>
  <c r="AO161" i="17"/>
  <c r="AZ49" i="1"/>
  <c r="BA49" i="1" s="1"/>
  <c r="AO49" i="17"/>
  <c r="AO57" i="17"/>
  <c r="AZ32" i="1"/>
  <c r="BA32" i="1" s="1"/>
  <c r="AZ30" i="1"/>
  <c r="AZ182" i="1"/>
  <c r="BA182" i="1" s="1"/>
  <c r="AZ179" i="1"/>
  <c r="AO179" i="17"/>
  <c r="AZ129" i="1"/>
  <c r="BA129" i="1" s="1"/>
  <c r="AO129" i="17"/>
  <c r="AZ14" i="1"/>
  <c r="AZ244" i="1"/>
  <c r="BA244" i="1" s="1"/>
  <c r="AO78" i="17"/>
  <c r="AZ46" i="1"/>
  <c r="AZ256" i="1"/>
  <c r="BA256" i="1" s="1"/>
  <c r="AZ200" i="1"/>
  <c r="AZ145" i="1"/>
  <c r="BA145" i="1" s="1"/>
  <c r="AO145" i="17"/>
  <c r="AZ115" i="1"/>
  <c r="BA115" i="1" s="1"/>
  <c r="AZ94" i="1"/>
  <c r="BA94" i="1" s="1"/>
  <c r="AO94" i="17"/>
  <c r="AZ21" i="1"/>
  <c r="BA21" i="1" s="1"/>
  <c r="AZ234" i="1"/>
  <c r="BA234" i="1" s="1"/>
  <c r="AO218" i="17"/>
  <c r="AZ218" i="1"/>
  <c r="BA218" i="1" s="1"/>
  <c r="AZ183" i="1"/>
  <c r="BA183" i="1" s="1"/>
  <c r="AZ107" i="1"/>
  <c r="AO249" i="17"/>
  <c r="AO236" i="17"/>
  <c r="AZ44" i="1"/>
  <c r="AZ41" i="1"/>
  <c r="BA41" i="1" s="1"/>
  <c r="AZ246" i="1"/>
  <c r="BA246" i="1" s="1"/>
  <c r="AZ243" i="1"/>
  <c r="AZ231" i="1"/>
  <c r="BA231" i="1" s="1"/>
  <c r="AZ220" i="1"/>
  <c r="BA220" i="1" s="1"/>
  <c r="AZ215" i="1"/>
  <c r="AZ187" i="1"/>
  <c r="BA187" i="1" s="1"/>
  <c r="AZ184" i="1"/>
  <c r="BA184" i="1" s="1"/>
  <c r="AZ180" i="1"/>
  <c r="BA180" i="1" s="1"/>
  <c r="AZ97" i="1"/>
  <c r="BA97" i="1" s="1"/>
  <c r="AZ230" i="1"/>
  <c r="BA230" i="1" s="1"/>
  <c r="AZ195" i="1"/>
  <c r="AZ120" i="1"/>
  <c r="BA120" i="1" s="1"/>
  <c r="AZ119" i="1"/>
  <c r="AZ112" i="1"/>
  <c r="AZ90" i="1"/>
  <c r="BA90" i="1" s="1"/>
  <c r="AZ124" i="1"/>
  <c r="BA124" i="1" s="1"/>
  <c r="AZ108" i="1"/>
  <c r="BA108" i="1" s="1"/>
  <c r="AZ245" i="1"/>
  <c r="BA245" i="1" s="1"/>
  <c r="AZ238" i="1"/>
  <c r="BA238" i="1" s="1"/>
  <c r="AZ229" i="1"/>
  <c r="BA229" i="1" s="1"/>
  <c r="AZ191" i="1"/>
  <c r="BA191" i="1" s="1"/>
  <c r="AO191" i="17"/>
  <c r="AZ185" i="1"/>
  <c r="AZ160" i="1"/>
  <c r="AZ144" i="1"/>
  <c r="BA144" i="1" s="1"/>
  <c r="AZ91" i="1"/>
  <c r="BA91" i="1" s="1"/>
  <c r="AO91" i="17"/>
  <c r="AO229" i="17"/>
  <c r="AO180" i="17"/>
  <c r="AZ253" i="1"/>
  <c r="BA253" i="1" s="1"/>
  <c r="AZ237" i="1"/>
  <c r="BA237" i="1" s="1"/>
  <c r="AO237" i="17"/>
  <c r="AZ221" i="1"/>
  <c r="BA221" i="1" s="1"/>
  <c r="AO205" i="17"/>
  <c r="AZ205" i="1"/>
  <c r="BA205" i="1" s="1"/>
  <c r="AZ181" i="1"/>
  <c r="BA181" i="1" s="1"/>
  <c r="AZ168" i="1"/>
  <c r="BA168" i="1" s="1"/>
  <c r="AZ152" i="1"/>
  <c r="BA152" i="1" s="1"/>
  <c r="AZ136" i="1"/>
  <c r="BA136" i="1" s="1"/>
  <c r="AZ125" i="1"/>
  <c r="BA125" i="1" s="1"/>
  <c r="AO125" i="17"/>
  <c r="AO261" i="17"/>
  <c r="AZ261" i="1"/>
  <c r="BA261" i="1" s="1"/>
  <c r="AZ254" i="1"/>
  <c r="BA254" i="1" s="1"/>
  <c r="AZ213" i="1"/>
  <c r="BA213" i="1" s="1"/>
  <c r="AO213" i="17"/>
  <c r="AZ194" i="1"/>
  <c r="BA194" i="1" s="1"/>
  <c r="AZ176" i="1"/>
  <c r="BA176" i="1" s="1"/>
  <c r="AZ128" i="1"/>
  <c r="BA128" i="1" s="1"/>
  <c r="AZ121" i="1"/>
  <c r="BA121" i="1" s="1"/>
  <c r="AZ113" i="1"/>
  <c r="BA113" i="1" s="1"/>
  <c r="AZ99" i="1"/>
  <c r="BA99" i="1" s="1"/>
  <c r="AO99" i="17"/>
  <c r="AO245" i="17"/>
  <c r="AO257" i="17"/>
  <c r="AZ257" i="1"/>
  <c r="BA257" i="1" s="1"/>
  <c r="AZ241" i="1"/>
  <c r="BA241" i="1" s="1"/>
  <c r="AO225" i="17"/>
  <c r="AZ225" i="1"/>
  <c r="BA225" i="1" s="1"/>
  <c r="AZ209" i="1"/>
  <c r="BA209" i="1" s="1"/>
  <c r="AZ190" i="1"/>
  <c r="BA190" i="1" s="1"/>
  <c r="AZ188" i="1"/>
  <c r="BA188" i="1" s="1"/>
  <c r="AZ172" i="1"/>
  <c r="BA172" i="1" s="1"/>
  <c r="AZ156" i="1"/>
  <c r="BA156" i="1" s="1"/>
  <c r="AO156" i="17"/>
  <c r="AZ140" i="1"/>
  <c r="BA140" i="1" s="1"/>
  <c r="AO140" i="17"/>
  <c r="AZ106" i="1"/>
  <c r="BA106" i="1" s="1"/>
  <c r="AO172" i="17"/>
  <c r="AZ258" i="1"/>
  <c r="BA258" i="1" s="1"/>
  <c r="AZ255" i="1"/>
  <c r="BA255" i="1" s="1"/>
  <c r="AZ249" i="1"/>
  <c r="BA249" i="1" s="1"/>
  <c r="AZ242" i="1"/>
  <c r="BA242" i="1" s="1"/>
  <c r="AZ239" i="1"/>
  <c r="BA239" i="1" s="1"/>
  <c r="AZ233" i="1"/>
  <c r="BA233" i="1" s="1"/>
  <c r="AO233" i="17"/>
  <c r="AZ226" i="1"/>
  <c r="BA226" i="1" s="1"/>
  <c r="AZ223" i="1"/>
  <c r="BA223" i="1" s="1"/>
  <c r="AZ217" i="1"/>
  <c r="BA217" i="1" s="1"/>
  <c r="AZ210" i="1"/>
  <c r="BA210" i="1" s="1"/>
  <c r="AZ207" i="1"/>
  <c r="BA207" i="1" s="1"/>
  <c r="AZ201" i="1"/>
  <c r="BA201" i="1" s="1"/>
  <c r="AZ164" i="1"/>
  <c r="BA164" i="1" s="1"/>
  <c r="AO164" i="17"/>
  <c r="AZ148" i="1"/>
  <c r="BA148" i="1" s="1"/>
  <c r="AZ132" i="1"/>
  <c r="BA132" i="1" s="1"/>
  <c r="AZ98" i="1"/>
  <c r="BA98" i="1" s="1"/>
  <c r="AZ174" i="1"/>
  <c r="BA174" i="1" s="1"/>
  <c r="AZ170" i="1"/>
  <c r="BA170" i="1" s="1"/>
  <c r="AZ166" i="1"/>
  <c r="BA166" i="1" s="1"/>
  <c r="AZ162" i="1"/>
  <c r="BA162" i="1" s="1"/>
  <c r="AZ158" i="1"/>
  <c r="BA158" i="1" s="1"/>
  <c r="AZ154" i="1"/>
  <c r="AZ150" i="1"/>
  <c r="BA150" i="1" s="1"/>
  <c r="AZ146" i="1"/>
  <c r="BA146" i="1" s="1"/>
  <c r="AZ142" i="1"/>
  <c r="BA142" i="1" s="1"/>
  <c r="AZ138" i="1"/>
  <c r="AZ134" i="1"/>
  <c r="BA134" i="1" s="1"/>
  <c r="AZ130" i="1"/>
  <c r="BA130" i="1" s="1"/>
  <c r="AZ126" i="1"/>
  <c r="BA126" i="1" s="1"/>
  <c r="AZ118" i="1"/>
  <c r="BA118" i="1" s="1"/>
  <c r="AZ110" i="1"/>
  <c r="BA110" i="1" s="1"/>
  <c r="AZ100" i="1"/>
  <c r="BA100" i="1" s="1"/>
  <c r="AZ122" i="1"/>
  <c r="BA122" i="1" s="1"/>
  <c r="AZ114" i="1"/>
  <c r="BA114" i="1" s="1"/>
  <c r="AZ103" i="1"/>
  <c r="AZ95" i="1"/>
  <c r="BA95" i="1" s="1"/>
  <c r="AZ92" i="1"/>
  <c r="BA92" i="1" s="1"/>
  <c r="AZ175" i="1"/>
  <c r="BA175" i="1" s="1"/>
  <c r="AZ171" i="1"/>
  <c r="BA171" i="1" s="1"/>
  <c r="AZ167" i="1"/>
  <c r="BA167" i="1" s="1"/>
  <c r="AZ163" i="1"/>
  <c r="BA163" i="1" s="1"/>
  <c r="AZ159" i="1"/>
  <c r="BA159" i="1" s="1"/>
  <c r="AZ155" i="1"/>
  <c r="AZ151" i="1"/>
  <c r="BA151" i="1" s="1"/>
  <c r="AZ147" i="1"/>
  <c r="BA147" i="1" s="1"/>
  <c r="AZ143" i="1"/>
  <c r="BA143" i="1" s="1"/>
  <c r="AZ139" i="1"/>
  <c r="BA139" i="1" s="1"/>
  <c r="AZ135" i="1"/>
  <c r="AZ131" i="1"/>
  <c r="BA131" i="1" s="1"/>
  <c r="AZ127" i="1"/>
  <c r="BA127" i="1" s="1"/>
  <c r="AZ104" i="1"/>
  <c r="BA104" i="1" s="1"/>
  <c r="AZ101" i="1"/>
  <c r="BA101" i="1" s="1"/>
  <c r="AZ96" i="1"/>
  <c r="BA96" i="1" s="1"/>
  <c r="AZ29" i="1"/>
  <c r="BA29" i="1" s="1"/>
  <c r="AZ20" i="1"/>
  <c r="BA20" i="1" s="1"/>
  <c r="AO16" i="17"/>
  <c r="AZ55" i="1"/>
  <c r="BA55" i="1" s="1"/>
  <c r="AO55" i="17"/>
  <c r="AZ47" i="1"/>
  <c r="BA47" i="1" s="1"/>
  <c r="AZ39" i="1"/>
  <c r="BA39" i="1" s="1"/>
  <c r="AZ60" i="1"/>
  <c r="BA60" i="1" s="1"/>
  <c r="AZ43" i="1"/>
  <c r="BA43" i="1" s="1"/>
  <c r="AO43" i="17"/>
  <c r="AZ40" i="1"/>
  <c r="AZ31" i="1"/>
  <c r="BA31" i="1" s="1"/>
  <c r="AZ53" i="1"/>
  <c r="BA53" i="1" s="1"/>
  <c r="AZ37" i="1"/>
  <c r="BA37" i="1" s="1"/>
  <c r="AZ17" i="1"/>
  <c r="BA17" i="1" s="1"/>
  <c r="AZ19" i="1"/>
  <c r="BA19" i="1" s="1"/>
  <c r="AZ51" i="1"/>
  <c r="BA51" i="1" s="1"/>
  <c r="AZ35" i="1"/>
  <c r="BA35" i="1" s="1"/>
  <c r="AZ27" i="1"/>
  <c r="AZ15" i="1"/>
  <c r="BA15" i="1" s="1"/>
  <c r="AZ23" i="1"/>
  <c r="BA23" i="1" s="1"/>
  <c r="AO95" i="17"/>
  <c r="AO87" i="17"/>
  <c r="AO42" i="17"/>
  <c r="AO38" i="17"/>
  <c r="AO34" i="17"/>
  <c r="AO30" i="17"/>
  <c r="AO22" i="17"/>
  <c r="AO14" i="17"/>
  <c r="AO79" i="17"/>
  <c r="AO103" i="17"/>
  <c r="AO71" i="17"/>
  <c r="AO48" i="17"/>
  <c r="AO232" i="17"/>
  <c r="AL229" i="17"/>
  <c r="AO224" i="17"/>
  <c r="AL221" i="17"/>
  <c r="AO216" i="17"/>
  <c r="AO208" i="17"/>
  <c r="AL205" i="17"/>
  <c r="AO200" i="17"/>
  <c r="AL197" i="17"/>
  <c r="AO192" i="17"/>
  <c r="AL189" i="17"/>
  <c r="AO184" i="17"/>
  <c r="AL181" i="17"/>
  <c r="AO176" i="17"/>
  <c r="AL173" i="17"/>
  <c r="AO168" i="17"/>
  <c r="AL165" i="17"/>
  <c r="AO160" i="17"/>
  <c r="AL157" i="17"/>
  <c r="AO152" i="17"/>
  <c r="AL149" i="17"/>
  <c r="AO144" i="17"/>
  <c r="AO136" i="17"/>
  <c r="AL133" i="17"/>
  <c r="AO128" i="17"/>
  <c r="AO120" i="17"/>
  <c r="AO112" i="17"/>
  <c r="AO104" i="17"/>
  <c r="AO96" i="17"/>
  <c r="AO88" i="17"/>
  <c r="AO80" i="17"/>
  <c r="AO72" i="17"/>
  <c r="AL256" i="17"/>
  <c r="AL248" i="17"/>
  <c r="AQ231" i="17"/>
  <c r="AM231" i="17"/>
  <c r="AQ223" i="17"/>
  <c r="AM223" i="17"/>
  <c r="AQ215" i="17"/>
  <c r="AM215" i="17"/>
  <c r="AQ207" i="17"/>
  <c r="AQ199" i="17"/>
  <c r="AM199" i="17"/>
  <c r="AQ191" i="17"/>
  <c r="AM191" i="17"/>
  <c r="AQ183" i="17"/>
  <c r="AM183" i="17"/>
  <c r="AQ175" i="17"/>
  <c r="AM175" i="17"/>
  <c r="AQ167" i="17"/>
  <c r="AM167" i="17"/>
  <c r="AQ159" i="17"/>
  <c r="AM159" i="17"/>
  <c r="AQ151" i="17"/>
  <c r="AM151" i="17"/>
  <c r="AQ143" i="17"/>
  <c r="AM143" i="17"/>
  <c r="AQ135" i="17"/>
  <c r="AM135" i="17"/>
  <c r="AQ127" i="17"/>
  <c r="AM127" i="17"/>
  <c r="AQ119" i="17"/>
  <c r="AM119" i="17"/>
  <c r="AQ111" i="17"/>
  <c r="AM111" i="17"/>
  <c r="AQ103" i="17"/>
  <c r="AM103" i="17"/>
  <c r="AQ95" i="17"/>
  <c r="AM95" i="17"/>
  <c r="AQ87" i="17"/>
  <c r="AM87" i="17"/>
  <c r="AQ79" i="17"/>
  <c r="AM79" i="17"/>
  <c r="AQ71" i="17"/>
  <c r="AM71" i="17"/>
  <c r="AO64" i="17"/>
  <c r="AO44" i="17"/>
  <c r="AO40" i="17"/>
  <c r="AO32" i="17"/>
  <c r="AO28" i="17"/>
  <c r="AO12" i="17"/>
  <c r="AQ61" i="17"/>
  <c r="AV211" i="17"/>
  <c r="AV157" i="17"/>
  <c r="BC72" i="1"/>
  <c r="BC71" i="1"/>
  <c r="BC70" i="1"/>
  <c r="BC69" i="1"/>
  <c r="BC68" i="1"/>
  <c r="BC67" i="1"/>
  <c r="BC66" i="1"/>
  <c r="BC65" i="1"/>
  <c r="BC20" i="1"/>
  <c r="BC19" i="1"/>
  <c r="BC18" i="1"/>
  <c r="BC17" i="1"/>
  <c r="BC16" i="1"/>
  <c r="BC15" i="1"/>
  <c r="BC14" i="1"/>
  <c r="BC13" i="1"/>
  <c r="AT5" i="1"/>
  <c r="AU263" i="1"/>
  <c r="AS263" i="1"/>
  <c r="AR263" i="1"/>
  <c r="AU61" i="1"/>
  <c r="AS61" i="1"/>
  <c r="AR61" i="1"/>
  <c r="BD11" i="1"/>
  <c r="Z60" i="1"/>
  <c r="C50" i="17" s="1"/>
  <c r="Z59" i="1"/>
  <c r="C49" i="17" s="1"/>
  <c r="Z58" i="1"/>
  <c r="C48" i="17" s="1"/>
  <c r="Z57" i="1"/>
  <c r="C47" i="17" s="1"/>
  <c r="Z55" i="1"/>
  <c r="C45" i="17" s="1"/>
  <c r="X53" i="1"/>
  <c r="X54" i="1"/>
  <c r="X55" i="1"/>
  <c r="X56" i="1"/>
  <c r="X57" i="1"/>
  <c r="X58" i="1"/>
  <c r="X59" i="1"/>
  <c r="X60" i="1"/>
  <c r="A50" i="17" s="1"/>
  <c r="X52" i="1"/>
  <c r="Y8" i="1"/>
  <c r="Y9" i="1" l="1"/>
  <c r="AH117" i="6"/>
  <c r="AL117" i="6" s="1"/>
  <c r="AH118" i="6"/>
  <c r="AL118" i="6" s="1"/>
  <c r="AH119" i="6"/>
  <c r="AL119" i="6" s="1"/>
  <c r="I4" i="17"/>
  <c r="I3" i="17"/>
  <c r="R29" i="7"/>
  <c r="AF75" i="1"/>
  <c r="AF78" i="1"/>
  <c r="AE65" i="1"/>
  <c r="AE67" i="1"/>
  <c r="H57" i="17" s="1"/>
  <c r="AE66" i="1"/>
  <c r="AE68" i="1"/>
  <c r="H58" i="17" s="1"/>
  <c r="AO11" i="17"/>
  <c r="AY63" i="1"/>
  <c r="AU63" i="17" s="1"/>
  <c r="AY64" i="1"/>
  <c r="AU64" i="17" s="1"/>
  <c r="AY68" i="1"/>
  <c r="AU68" i="17" s="1"/>
  <c r="AY72" i="1"/>
  <c r="AU72" i="17" s="1"/>
  <c r="AY76" i="1"/>
  <c r="AU76" i="17" s="1"/>
  <c r="AY80" i="1"/>
  <c r="AU80" i="17" s="1"/>
  <c r="AY84" i="1"/>
  <c r="AU84" i="17" s="1"/>
  <c r="AY88" i="1"/>
  <c r="AU88" i="17" s="1"/>
  <c r="AY92" i="1"/>
  <c r="AU92" i="17" s="1"/>
  <c r="AY96" i="1"/>
  <c r="AU96" i="17" s="1"/>
  <c r="AY100" i="1"/>
  <c r="AU100" i="17" s="1"/>
  <c r="AY104" i="1"/>
  <c r="AU104" i="17" s="1"/>
  <c r="AY108" i="1"/>
  <c r="AU108" i="17" s="1"/>
  <c r="AY112" i="1"/>
  <c r="AU112" i="17" s="1"/>
  <c r="AY116" i="1"/>
  <c r="AU116" i="17" s="1"/>
  <c r="AY120" i="1"/>
  <c r="AU120" i="17" s="1"/>
  <c r="AY124" i="1"/>
  <c r="AU124" i="17" s="1"/>
  <c r="AY128" i="1"/>
  <c r="AY132" i="1"/>
  <c r="AU132" i="17" s="1"/>
  <c r="AY136" i="1"/>
  <c r="AU136" i="17" s="1"/>
  <c r="AY140" i="1"/>
  <c r="AU140" i="17" s="1"/>
  <c r="AY144" i="1"/>
  <c r="AY148" i="1"/>
  <c r="AU148" i="17" s="1"/>
  <c r="AY152" i="1"/>
  <c r="AU152" i="17" s="1"/>
  <c r="AY156" i="1"/>
  <c r="AU156" i="17" s="1"/>
  <c r="AY160" i="1"/>
  <c r="AU160" i="17" s="1"/>
  <c r="AY164" i="1"/>
  <c r="AU164" i="17" s="1"/>
  <c r="AY168" i="1"/>
  <c r="AU168" i="17" s="1"/>
  <c r="AY172" i="1"/>
  <c r="AU172" i="17" s="1"/>
  <c r="AY176" i="1"/>
  <c r="AU176" i="17" s="1"/>
  <c r="AY180" i="1"/>
  <c r="AU180" i="17" s="1"/>
  <c r="AY184" i="1"/>
  <c r="AU184" i="17" s="1"/>
  <c r="AY188" i="1"/>
  <c r="AU188" i="17" s="1"/>
  <c r="AY192" i="1"/>
  <c r="AU192" i="17" s="1"/>
  <c r="AY196" i="1"/>
  <c r="AU196" i="17" s="1"/>
  <c r="AY200" i="1"/>
  <c r="AU200" i="17" s="1"/>
  <c r="AY204" i="1"/>
  <c r="AU204" i="17" s="1"/>
  <c r="AY208" i="1"/>
  <c r="AY212" i="1"/>
  <c r="AU212" i="17" s="1"/>
  <c r="AY216" i="1"/>
  <c r="AU216" i="17" s="1"/>
  <c r="AY220" i="1"/>
  <c r="AU220" i="17" s="1"/>
  <c r="AY224" i="1"/>
  <c r="AU224" i="17" s="1"/>
  <c r="AY228" i="1"/>
  <c r="AY232" i="1"/>
  <c r="AU232" i="17" s="1"/>
  <c r="AY236" i="1"/>
  <c r="AU236" i="17" s="1"/>
  <c r="AY240" i="1"/>
  <c r="AU240" i="17" s="1"/>
  <c r="AY244" i="1"/>
  <c r="AU244" i="17" s="1"/>
  <c r="AY248" i="1"/>
  <c r="AU248" i="17" s="1"/>
  <c r="AY252" i="1"/>
  <c r="AU252" i="17" s="1"/>
  <c r="AY256" i="1"/>
  <c r="AU256" i="17" s="1"/>
  <c r="AY260" i="1"/>
  <c r="AU260" i="17" s="1"/>
  <c r="AY123" i="1"/>
  <c r="AU123" i="17" s="1"/>
  <c r="AY139" i="1"/>
  <c r="AU139" i="17" s="1"/>
  <c r="AY151" i="1"/>
  <c r="AU151" i="17" s="1"/>
  <c r="AY163" i="1"/>
  <c r="AU163" i="17" s="1"/>
  <c r="AY175" i="1"/>
  <c r="AU175" i="17" s="1"/>
  <c r="AY187" i="1"/>
  <c r="AU187" i="17" s="1"/>
  <c r="AY199" i="1"/>
  <c r="AU199" i="17" s="1"/>
  <c r="AY211" i="1"/>
  <c r="AU211" i="17" s="1"/>
  <c r="AY219" i="1"/>
  <c r="AU219" i="17" s="1"/>
  <c r="AY231" i="1"/>
  <c r="AU231" i="17" s="1"/>
  <c r="AY243" i="1"/>
  <c r="AY255" i="1"/>
  <c r="AU255" i="17" s="1"/>
  <c r="AY65" i="1"/>
  <c r="AY69" i="1"/>
  <c r="AU69" i="17" s="1"/>
  <c r="AY73" i="1"/>
  <c r="AU73" i="17" s="1"/>
  <c r="AY77" i="1"/>
  <c r="AU77" i="17" s="1"/>
  <c r="AY81" i="1"/>
  <c r="AU81" i="17" s="1"/>
  <c r="AY85" i="1"/>
  <c r="AU85" i="17" s="1"/>
  <c r="AY89" i="1"/>
  <c r="AU89" i="17" s="1"/>
  <c r="AY93" i="1"/>
  <c r="AU93" i="17" s="1"/>
  <c r="AY97" i="1"/>
  <c r="AU97" i="17" s="1"/>
  <c r="AY101" i="1"/>
  <c r="AU101" i="17" s="1"/>
  <c r="AY105" i="1"/>
  <c r="AU105" i="17" s="1"/>
  <c r="AY109" i="1"/>
  <c r="AU109" i="17" s="1"/>
  <c r="AY113" i="1"/>
  <c r="AU113" i="17" s="1"/>
  <c r="AY117" i="1"/>
  <c r="AU117" i="17" s="1"/>
  <c r="AY121" i="1"/>
  <c r="AU121" i="17" s="1"/>
  <c r="AY125" i="1"/>
  <c r="AU125" i="17" s="1"/>
  <c r="AY129" i="1"/>
  <c r="AU129" i="17" s="1"/>
  <c r="AY133" i="1"/>
  <c r="AU133" i="17" s="1"/>
  <c r="AY137" i="1"/>
  <c r="AU137" i="17" s="1"/>
  <c r="AY141" i="1"/>
  <c r="AU141" i="17" s="1"/>
  <c r="AY145" i="1"/>
  <c r="AU145" i="17" s="1"/>
  <c r="AY149" i="1"/>
  <c r="AU149" i="17" s="1"/>
  <c r="AY153" i="1"/>
  <c r="AU153" i="17" s="1"/>
  <c r="AY157" i="1"/>
  <c r="AU157" i="17" s="1"/>
  <c r="AY161" i="1"/>
  <c r="AU161" i="17" s="1"/>
  <c r="AY165" i="1"/>
  <c r="AU165" i="17" s="1"/>
  <c r="AY169" i="1"/>
  <c r="AU169" i="17" s="1"/>
  <c r="AY173" i="1"/>
  <c r="AU173" i="17" s="1"/>
  <c r="AY177" i="1"/>
  <c r="AU177" i="17" s="1"/>
  <c r="AY181" i="1"/>
  <c r="AU181" i="17" s="1"/>
  <c r="AY185" i="1"/>
  <c r="AY189" i="1"/>
  <c r="AU189" i="17" s="1"/>
  <c r="AY193" i="1"/>
  <c r="AU193" i="17" s="1"/>
  <c r="AY197" i="1"/>
  <c r="AU197" i="17" s="1"/>
  <c r="AY201" i="1"/>
  <c r="AU201" i="17" s="1"/>
  <c r="AY205" i="1"/>
  <c r="AU205" i="17" s="1"/>
  <c r="AY209" i="1"/>
  <c r="AU209" i="17" s="1"/>
  <c r="AY213" i="1"/>
  <c r="AU213" i="17" s="1"/>
  <c r="AY217" i="1"/>
  <c r="AU217" i="17" s="1"/>
  <c r="AY221" i="1"/>
  <c r="AU221" i="17" s="1"/>
  <c r="AY225" i="1"/>
  <c r="AU225" i="17" s="1"/>
  <c r="AY229" i="1"/>
  <c r="AU229" i="17" s="1"/>
  <c r="AY233" i="1"/>
  <c r="AU233" i="17" s="1"/>
  <c r="AY237" i="1"/>
  <c r="AU237" i="17" s="1"/>
  <c r="AY241" i="1"/>
  <c r="AU241" i="17" s="1"/>
  <c r="AY245" i="1"/>
  <c r="AU245" i="17" s="1"/>
  <c r="AY249" i="1"/>
  <c r="AU249" i="17" s="1"/>
  <c r="AY253" i="1"/>
  <c r="AY257" i="1"/>
  <c r="AU257" i="17" s="1"/>
  <c r="AY261" i="1"/>
  <c r="AU261" i="17" s="1"/>
  <c r="AY194" i="1"/>
  <c r="AY206" i="1"/>
  <c r="AU206" i="17" s="1"/>
  <c r="AY214" i="1"/>
  <c r="AU214" i="17" s="1"/>
  <c r="AY222" i="1"/>
  <c r="AU222" i="17" s="1"/>
  <c r="AY226" i="1"/>
  <c r="AU226" i="17" s="1"/>
  <c r="AY234" i="1"/>
  <c r="AU234" i="17" s="1"/>
  <c r="AY242" i="1"/>
  <c r="AU242" i="17" s="1"/>
  <c r="AY250" i="1"/>
  <c r="AU250" i="17" s="1"/>
  <c r="AY258" i="1"/>
  <c r="AU258" i="17" s="1"/>
  <c r="AY67" i="1"/>
  <c r="AU67" i="17" s="1"/>
  <c r="AY75" i="1"/>
  <c r="AU75" i="17" s="1"/>
  <c r="AY79" i="1"/>
  <c r="AU79" i="17" s="1"/>
  <c r="AY87" i="1"/>
  <c r="AU87" i="17" s="1"/>
  <c r="AY95" i="1"/>
  <c r="AU95" i="17" s="1"/>
  <c r="AY103" i="1"/>
  <c r="AU103" i="17" s="1"/>
  <c r="AY111" i="1"/>
  <c r="AU111" i="17" s="1"/>
  <c r="AY119" i="1"/>
  <c r="AY131" i="1"/>
  <c r="AU131" i="17" s="1"/>
  <c r="AY143" i="1"/>
  <c r="AU143" i="17" s="1"/>
  <c r="AY155" i="1"/>
  <c r="AU155" i="17" s="1"/>
  <c r="AY167" i="1"/>
  <c r="AU167" i="17" s="1"/>
  <c r="AY179" i="1"/>
  <c r="AU179" i="17" s="1"/>
  <c r="AY191" i="1"/>
  <c r="AU191" i="17" s="1"/>
  <c r="AY203" i="1"/>
  <c r="AU203" i="17" s="1"/>
  <c r="AY215" i="1"/>
  <c r="AU215" i="17" s="1"/>
  <c r="AY227" i="1"/>
  <c r="AU227" i="17" s="1"/>
  <c r="AY239" i="1"/>
  <c r="AU239" i="17" s="1"/>
  <c r="AY251" i="1"/>
  <c r="AU251" i="17" s="1"/>
  <c r="AY66" i="1"/>
  <c r="AU66" i="17" s="1"/>
  <c r="AY70" i="1"/>
  <c r="AU70" i="17" s="1"/>
  <c r="AY74" i="1"/>
  <c r="AU74" i="17" s="1"/>
  <c r="AY78" i="1"/>
  <c r="AU78" i="17" s="1"/>
  <c r="AY82" i="1"/>
  <c r="AU82" i="17" s="1"/>
  <c r="AY86" i="1"/>
  <c r="AU86" i="17" s="1"/>
  <c r="AY90" i="1"/>
  <c r="AU90" i="17" s="1"/>
  <c r="AY94" i="1"/>
  <c r="AU94" i="17" s="1"/>
  <c r="AY98" i="1"/>
  <c r="AU98" i="17" s="1"/>
  <c r="AY102" i="1"/>
  <c r="AU102" i="17" s="1"/>
  <c r="AY106" i="1"/>
  <c r="AU106" i="17" s="1"/>
  <c r="AY110" i="1"/>
  <c r="AU110" i="17" s="1"/>
  <c r="AY114" i="1"/>
  <c r="AU114" i="17" s="1"/>
  <c r="AY118" i="1"/>
  <c r="AU118" i="17" s="1"/>
  <c r="AY122" i="1"/>
  <c r="AU122" i="17" s="1"/>
  <c r="AY126" i="1"/>
  <c r="AU126" i="17" s="1"/>
  <c r="AY130" i="1"/>
  <c r="AU130" i="17" s="1"/>
  <c r="AY134" i="1"/>
  <c r="AU134" i="17" s="1"/>
  <c r="AY138" i="1"/>
  <c r="AU138" i="17" s="1"/>
  <c r="AY142" i="1"/>
  <c r="AU142" i="17" s="1"/>
  <c r="AY146" i="1"/>
  <c r="AU146" i="17" s="1"/>
  <c r="AY150" i="1"/>
  <c r="AU150" i="17" s="1"/>
  <c r="AY154" i="1"/>
  <c r="AU154" i="17" s="1"/>
  <c r="AY158" i="1"/>
  <c r="AU158" i="17" s="1"/>
  <c r="AY162" i="1"/>
  <c r="AU162" i="17" s="1"/>
  <c r="AY166" i="1"/>
  <c r="AU166" i="17" s="1"/>
  <c r="AY170" i="1"/>
  <c r="AU170" i="17" s="1"/>
  <c r="AY174" i="1"/>
  <c r="AU174" i="17" s="1"/>
  <c r="AY178" i="1"/>
  <c r="AU178" i="17" s="1"/>
  <c r="AY182" i="1"/>
  <c r="AU182" i="17" s="1"/>
  <c r="AY186" i="1"/>
  <c r="AU186" i="17" s="1"/>
  <c r="AY190" i="1"/>
  <c r="AU190" i="17" s="1"/>
  <c r="AY198" i="1"/>
  <c r="AU198" i="17" s="1"/>
  <c r="AY202" i="1"/>
  <c r="AU202" i="17" s="1"/>
  <c r="AY210" i="1"/>
  <c r="AU210" i="17" s="1"/>
  <c r="AY218" i="1"/>
  <c r="AU218" i="17" s="1"/>
  <c r="AY230" i="1"/>
  <c r="AU230" i="17" s="1"/>
  <c r="AY238" i="1"/>
  <c r="AU238" i="17" s="1"/>
  <c r="AY246" i="1"/>
  <c r="AU246" i="17" s="1"/>
  <c r="AY254" i="1"/>
  <c r="AU254" i="17" s="1"/>
  <c r="AY262" i="1"/>
  <c r="AU262" i="17" s="1"/>
  <c r="AY71" i="1"/>
  <c r="AU71" i="17" s="1"/>
  <c r="AY83" i="1"/>
  <c r="AU83" i="17" s="1"/>
  <c r="AY91" i="1"/>
  <c r="AU91" i="17" s="1"/>
  <c r="AY99" i="1"/>
  <c r="AY107" i="1"/>
  <c r="AU107" i="17" s="1"/>
  <c r="AY115" i="1"/>
  <c r="AU115" i="17" s="1"/>
  <c r="AY127" i="1"/>
  <c r="AU127" i="17" s="1"/>
  <c r="AY135" i="1"/>
  <c r="AU135" i="17" s="1"/>
  <c r="AY147" i="1"/>
  <c r="AU147" i="17" s="1"/>
  <c r="AY159" i="1"/>
  <c r="AU159" i="17" s="1"/>
  <c r="AY171" i="1"/>
  <c r="AU171" i="17" s="1"/>
  <c r="AY183" i="1"/>
  <c r="AU183" i="17" s="1"/>
  <c r="AY195" i="1"/>
  <c r="AU195" i="17" s="1"/>
  <c r="AY207" i="1"/>
  <c r="AU207" i="17" s="1"/>
  <c r="AY223" i="1"/>
  <c r="AU223" i="17" s="1"/>
  <c r="AY235" i="1"/>
  <c r="AU235" i="17" s="1"/>
  <c r="AY247" i="1"/>
  <c r="AU247" i="17" s="1"/>
  <c r="AY259" i="1"/>
  <c r="AU259" i="17" s="1"/>
  <c r="AY11" i="1"/>
  <c r="AY12" i="1"/>
  <c r="AU12" i="17" s="1"/>
  <c r="AY16" i="1"/>
  <c r="AU16" i="17" s="1"/>
  <c r="AY20" i="1"/>
  <c r="AU20" i="17" s="1"/>
  <c r="AY24" i="1"/>
  <c r="AU24" i="17" s="1"/>
  <c r="AY28" i="1"/>
  <c r="AU28" i="17" s="1"/>
  <c r="AY36" i="1"/>
  <c r="AU36" i="17" s="1"/>
  <c r="AY44" i="1"/>
  <c r="AU44" i="17" s="1"/>
  <c r="AY52" i="1"/>
  <c r="AU52" i="17" s="1"/>
  <c r="AY17" i="1"/>
  <c r="AU17" i="17" s="1"/>
  <c r="AY25" i="1"/>
  <c r="AU25" i="17" s="1"/>
  <c r="AY33" i="1"/>
  <c r="AU33" i="17" s="1"/>
  <c r="AY41" i="1"/>
  <c r="AU41" i="17" s="1"/>
  <c r="AY49" i="1"/>
  <c r="AU49" i="17" s="1"/>
  <c r="AY57" i="1"/>
  <c r="AU57" i="17" s="1"/>
  <c r="AY14" i="1"/>
  <c r="AU14" i="17" s="1"/>
  <c r="AY18" i="1"/>
  <c r="AU18" i="17" s="1"/>
  <c r="AY22" i="1"/>
  <c r="AU22" i="17" s="1"/>
  <c r="AY26" i="1"/>
  <c r="AU26" i="17" s="1"/>
  <c r="AY30" i="1"/>
  <c r="AU30" i="17" s="1"/>
  <c r="AY34" i="1"/>
  <c r="AU34" i="17" s="1"/>
  <c r="AY38" i="1"/>
  <c r="AU38" i="17" s="1"/>
  <c r="AY42" i="1"/>
  <c r="AU42" i="17" s="1"/>
  <c r="AY46" i="1"/>
  <c r="AU46" i="17" s="1"/>
  <c r="AY50" i="1"/>
  <c r="AU50" i="17" s="1"/>
  <c r="AY54" i="1"/>
  <c r="AY58" i="1"/>
  <c r="AU58" i="17" s="1"/>
  <c r="AY15" i="1"/>
  <c r="AU15" i="17" s="1"/>
  <c r="AY19" i="1"/>
  <c r="AU19" i="17" s="1"/>
  <c r="AY23" i="1"/>
  <c r="AU23" i="17" s="1"/>
  <c r="AY27" i="1"/>
  <c r="AU27" i="17" s="1"/>
  <c r="AY31" i="1"/>
  <c r="AU31" i="17" s="1"/>
  <c r="AY35" i="1"/>
  <c r="AU35" i="17" s="1"/>
  <c r="AY39" i="1"/>
  <c r="AU39" i="17" s="1"/>
  <c r="AY43" i="1"/>
  <c r="AU43" i="17" s="1"/>
  <c r="AY47" i="1"/>
  <c r="AU47" i="17" s="1"/>
  <c r="AY51" i="1"/>
  <c r="AU51" i="17" s="1"/>
  <c r="AY55" i="1"/>
  <c r="AY59" i="1"/>
  <c r="AU59" i="17" s="1"/>
  <c r="AY32" i="1"/>
  <c r="AU32" i="17" s="1"/>
  <c r="AY40" i="1"/>
  <c r="AU40" i="17" s="1"/>
  <c r="AY48" i="1"/>
  <c r="AU48" i="17" s="1"/>
  <c r="AY56" i="1"/>
  <c r="AU56" i="17" s="1"/>
  <c r="AY60" i="1"/>
  <c r="AU60" i="17" s="1"/>
  <c r="AY13" i="1"/>
  <c r="AU13" i="17" s="1"/>
  <c r="AY21" i="1"/>
  <c r="AU21" i="17" s="1"/>
  <c r="AY29" i="1"/>
  <c r="AU29" i="17" s="1"/>
  <c r="AY37" i="1"/>
  <c r="AU37" i="17" s="1"/>
  <c r="AY45" i="1"/>
  <c r="AU45" i="17" s="1"/>
  <c r="AY53" i="1"/>
  <c r="AU53" i="17" s="1"/>
  <c r="E2" i="17"/>
  <c r="AD116" i="6"/>
  <c r="P23" i="1"/>
  <c r="P25" i="1"/>
  <c r="P24" i="1"/>
  <c r="P26" i="1"/>
  <c r="P22" i="1"/>
  <c r="T28" i="1"/>
  <c r="AE85" i="1"/>
  <c r="E75" i="17" s="1"/>
  <c r="Y85" i="1"/>
  <c r="H68" i="17" s="1"/>
  <c r="AC76" i="1"/>
  <c r="F66" i="17" s="1"/>
  <c r="Y76" i="1"/>
  <c r="B66" i="17" s="1"/>
  <c r="AA30" i="1"/>
  <c r="D20" i="17" s="1"/>
  <c r="AC26" i="1"/>
  <c r="F16" i="17" s="1"/>
  <c r="AE30" i="1"/>
  <c r="H20" i="17" s="1"/>
  <c r="H26" i="17"/>
  <c r="Y41" i="1"/>
  <c r="B31" i="17" s="1"/>
  <c r="Y37" i="1"/>
  <c r="AA39" i="1"/>
  <c r="D29" i="17" s="1"/>
  <c r="AC41" i="1"/>
  <c r="F31" i="17" s="1"/>
  <c r="AC37" i="1"/>
  <c r="AE39" i="1"/>
  <c r="H29" i="17" s="1"/>
  <c r="Y47" i="1"/>
  <c r="B37" i="17" s="1"/>
  <c r="AC49" i="1"/>
  <c r="AE48" i="1"/>
  <c r="H38" i="17" s="1"/>
  <c r="Y53" i="1"/>
  <c r="Y57" i="1"/>
  <c r="Y52" i="1"/>
  <c r="Y69" i="1"/>
  <c r="AC69" i="1"/>
  <c r="F59" i="17" s="1"/>
  <c r="AC65" i="1"/>
  <c r="F55" i="17" s="1"/>
  <c r="AE71" i="1"/>
  <c r="H61" i="17" s="1"/>
  <c r="AE57" i="1"/>
  <c r="H47" i="17" s="1"/>
  <c r="AE54" i="1"/>
  <c r="H44" i="17" s="1"/>
  <c r="AC56" i="1"/>
  <c r="F46" i="17" s="1"/>
  <c r="AC60" i="1"/>
  <c r="F50" i="17" s="1"/>
  <c r="AA77" i="1"/>
  <c r="D67" i="17" s="1"/>
  <c r="AA38" i="1"/>
  <c r="AE38" i="1"/>
  <c r="H28" i="17" s="1"/>
  <c r="AC48" i="1"/>
  <c r="Y54" i="1"/>
  <c r="Y70" i="1"/>
  <c r="B60" i="17" s="1"/>
  <c r="AC68" i="1"/>
  <c r="F58" i="17" s="1"/>
  <c r="H53" i="17"/>
  <c r="AC57" i="1"/>
  <c r="F47" i="17" s="1"/>
  <c r="AE82" i="1"/>
  <c r="E72" i="17" s="1"/>
  <c r="H54" i="17"/>
  <c r="AC52" i="1"/>
  <c r="AB85" i="1"/>
  <c r="B75" i="17" s="1"/>
  <c r="Y83" i="1"/>
  <c r="H66" i="17" s="1"/>
  <c r="AA76" i="1"/>
  <c r="D66" i="17" s="1"/>
  <c r="AC30" i="1"/>
  <c r="F20" i="17" s="1"/>
  <c r="AA26" i="1"/>
  <c r="D16" i="17" s="1"/>
  <c r="AE28" i="1"/>
  <c r="H18" i="17" s="1"/>
  <c r="AE26" i="1"/>
  <c r="H16" i="17" s="1"/>
  <c r="Y39" i="1"/>
  <c r="B29" i="17" s="1"/>
  <c r="AA41" i="1"/>
  <c r="D31" i="17" s="1"/>
  <c r="AA37" i="1"/>
  <c r="AC39" i="1"/>
  <c r="F29" i="17" s="1"/>
  <c r="AE41" i="1"/>
  <c r="H31" i="17" s="1"/>
  <c r="Y49" i="1"/>
  <c r="B39" i="17" s="1"/>
  <c r="AA48" i="1"/>
  <c r="D38" i="17" s="1"/>
  <c r="AC47" i="1"/>
  <c r="AE46" i="1"/>
  <c r="H36" i="17" s="1"/>
  <c r="Y55" i="1"/>
  <c r="Y59" i="1"/>
  <c r="Y71" i="1"/>
  <c r="B61" i="17" s="1"/>
  <c r="AC71" i="1"/>
  <c r="F61" i="17" s="1"/>
  <c r="AC67" i="1"/>
  <c r="F57" i="17" s="1"/>
  <c r="AE69" i="1"/>
  <c r="H59" i="17" s="1"/>
  <c r="AE55" i="1"/>
  <c r="H45" i="17" s="1"/>
  <c r="AE59" i="1"/>
  <c r="H49" i="17" s="1"/>
  <c r="AC54" i="1"/>
  <c r="F44" i="17" s="1"/>
  <c r="AC58" i="1"/>
  <c r="F48" i="17" s="1"/>
  <c r="AB82" i="1"/>
  <c r="B72" i="17" s="1"/>
  <c r="AC77" i="1"/>
  <c r="F67" i="17" s="1"/>
  <c r="Y77" i="1"/>
  <c r="B67" i="17" s="1"/>
  <c r="AA31" i="1"/>
  <c r="D21" i="17" s="1"/>
  <c r="AC27" i="1"/>
  <c r="F17" i="17" s="1"/>
  <c r="AE29" i="1"/>
  <c r="H19" i="17" s="1"/>
  <c r="AE37" i="1"/>
  <c r="H27" i="17" s="1"/>
  <c r="Y38" i="1"/>
  <c r="AA40" i="1"/>
  <c r="D30" i="17" s="1"/>
  <c r="AA36" i="1"/>
  <c r="AC38" i="1"/>
  <c r="AE40" i="1"/>
  <c r="H30" i="17" s="1"/>
  <c r="Y48" i="1"/>
  <c r="B38" i="17" s="1"/>
  <c r="AA47" i="1"/>
  <c r="D37" i="17" s="1"/>
  <c r="AE49" i="1"/>
  <c r="H39" i="17" s="1"/>
  <c r="AE45" i="1"/>
  <c r="H35" i="17" s="1"/>
  <c r="Y60" i="1"/>
  <c r="B50" i="17" s="1"/>
  <c r="Y65" i="1"/>
  <c r="AC70" i="1"/>
  <c r="F60" i="17" s="1"/>
  <c r="AC66" i="1"/>
  <c r="F56" i="17" s="1"/>
  <c r="AE70" i="1"/>
  <c r="H60" i="17" s="1"/>
  <c r="AE56" i="1"/>
  <c r="H46" i="17" s="1"/>
  <c r="AE60" i="1"/>
  <c r="H50" i="17" s="1"/>
  <c r="AC55" i="1"/>
  <c r="F45" i="17" s="1"/>
  <c r="AC59" i="1"/>
  <c r="F49" i="17" s="1"/>
  <c r="Y84" i="1"/>
  <c r="H67" i="17" s="1"/>
  <c r="AC31" i="1"/>
  <c r="F21" i="17" s="1"/>
  <c r="AA27" i="1"/>
  <c r="D17" i="17" s="1"/>
  <c r="AE27" i="1"/>
  <c r="H17" i="17" s="1"/>
  <c r="AE31" i="1"/>
  <c r="H21" i="17" s="1"/>
  <c r="Y40" i="1"/>
  <c r="B30" i="17" s="1"/>
  <c r="Y36" i="1"/>
  <c r="AC40" i="1"/>
  <c r="F30" i="17" s="1"/>
  <c r="AC36" i="1"/>
  <c r="AA49" i="1"/>
  <c r="D39" i="17" s="1"/>
  <c r="AE47" i="1"/>
  <c r="H37" i="17" s="1"/>
  <c r="Y58" i="1"/>
  <c r="Y66" i="1"/>
  <c r="AE58" i="1"/>
  <c r="H48" i="17" s="1"/>
  <c r="AC53" i="1"/>
  <c r="F43" i="17" s="1"/>
  <c r="L134" i="1"/>
  <c r="L130" i="1"/>
  <c r="L126" i="1"/>
  <c r="L137" i="1"/>
  <c r="L133" i="1"/>
  <c r="L129" i="1"/>
  <c r="L125" i="1"/>
  <c r="L121" i="1"/>
  <c r="L117" i="1"/>
  <c r="L113" i="1"/>
  <c r="L109" i="1"/>
  <c r="L105" i="1"/>
  <c r="L101" i="1"/>
  <c r="L97" i="1"/>
  <c r="L93" i="1"/>
  <c r="L89" i="1"/>
  <c r="L85" i="1"/>
  <c r="L81" i="1"/>
  <c r="L77" i="1"/>
  <c r="L73" i="1"/>
  <c r="L69" i="1"/>
  <c r="L65" i="1"/>
  <c r="L61" i="1"/>
  <c r="L57" i="1"/>
  <c r="L53" i="1"/>
  <c r="L49" i="1"/>
  <c r="L45" i="1"/>
  <c r="L35" i="1"/>
  <c r="L30" i="1"/>
  <c r="L20" i="1"/>
  <c r="L16" i="1"/>
  <c r="L12" i="1"/>
  <c r="L8" i="1"/>
  <c r="L3" i="1"/>
  <c r="L136" i="1"/>
  <c r="L132" i="1"/>
  <c r="L128" i="1"/>
  <c r="L124" i="1"/>
  <c r="L120" i="1"/>
  <c r="L116" i="1"/>
  <c r="L112" i="1"/>
  <c r="L108" i="1"/>
  <c r="L104" i="1"/>
  <c r="L100" i="1"/>
  <c r="L96" i="1"/>
  <c r="L92" i="1"/>
  <c r="L88" i="1"/>
  <c r="L84" i="1"/>
  <c r="L80" i="1"/>
  <c r="L76" i="1"/>
  <c r="L72" i="1"/>
  <c r="L68" i="1"/>
  <c r="L64" i="1"/>
  <c r="L60" i="1"/>
  <c r="L56" i="1"/>
  <c r="L52" i="1"/>
  <c r="L48" i="1"/>
  <c r="L44" i="1"/>
  <c r="L38" i="1"/>
  <c r="L29" i="1"/>
  <c r="L25" i="1"/>
  <c r="L19" i="1"/>
  <c r="L15" i="1"/>
  <c r="L11" i="1"/>
  <c r="L7" i="1"/>
  <c r="L4" i="1"/>
  <c r="L135" i="1"/>
  <c r="L131" i="1"/>
  <c r="L127" i="1"/>
  <c r="L123" i="1"/>
  <c r="L119" i="1"/>
  <c r="L115" i="1"/>
  <c r="L111" i="1"/>
  <c r="L107" i="1"/>
  <c r="L103" i="1"/>
  <c r="L99" i="1"/>
  <c r="L95" i="1"/>
  <c r="L91" i="1"/>
  <c r="L87" i="1"/>
  <c r="L83" i="1"/>
  <c r="L79" i="1"/>
  <c r="L75" i="1"/>
  <c r="L71" i="1"/>
  <c r="L67" i="1"/>
  <c r="L63" i="1"/>
  <c r="L114" i="1"/>
  <c r="L98" i="1"/>
  <c r="L82" i="1"/>
  <c r="L66" i="1"/>
  <c r="L55" i="1"/>
  <c r="L47" i="1"/>
  <c r="L37" i="1"/>
  <c r="L28" i="1"/>
  <c r="L18" i="1"/>
  <c r="L10" i="1"/>
  <c r="L110" i="1"/>
  <c r="L94" i="1"/>
  <c r="L78" i="1"/>
  <c r="L62" i="1"/>
  <c r="L54" i="1"/>
  <c r="L46" i="1"/>
  <c r="L36" i="1"/>
  <c r="L27" i="1"/>
  <c r="L17" i="1"/>
  <c r="L9" i="1"/>
  <c r="L122" i="1"/>
  <c r="L106" i="1"/>
  <c r="L90" i="1"/>
  <c r="L74" i="1"/>
  <c r="L59" i="1"/>
  <c r="L51" i="1"/>
  <c r="L43" i="1"/>
  <c r="L32" i="1"/>
  <c r="L24" i="1"/>
  <c r="L14" i="1"/>
  <c r="L6" i="1"/>
  <c r="L118" i="1"/>
  <c r="L102" i="1"/>
  <c r="L86" i="1"/>
  <c r="L70" i="1"/>
  <c r="L58" i="1"/>
  <c r="L50" i="1"/>
  <c r="L42" i="1"/>
  <c r="L31" i="1"/>
  <c r="L21" i="1"/>
  <c r="L13" i="1"/>
  <c r="L5" i="1"/>
  <c r="AE75" i="1"/>
  <c r="H72" i="17" s="1"/>
  <c r="AE78" i="1"/>
  <c r="H75" i="17" s="1"/>
  <c r="AD112" i="6"/>
  <c r="AD25" i="6"/>
  <c r="AD110" i="6"/>
  <c r="AD23" i="6"/>
  <c r="AD111" i="6"/>
  <c r="AD24" i="6"/>
  <c r="AD113" i="6"/>
  <c r="AD26" i="6"/>
  <c r="AD109" i="6"/>
  <c r="AD22" i="6"/>
  <c r="AD108" i="6"/>
  <c r="AD21" i="6"/>
  <c r="BA112" i="1"/>
  <c r="AW112" i="17" s="1"/>
  <c r="AV155" i="17"/>
  <c r="BA155" i="1"/>
  <c r="AV185" i="17"/>
  <c r="BA185" i="1"/>
  <c r="AV195" i="17"/>
  <c r="BA195" i="1"/>
  <c r="BA137" i="1"/>
  <c r="AW137" i="17" s="1"/>
  <c r="BA173" i="1"/>
  <c r="BB173" i="1" s="1"/>
  <c r="AV173" i="1" s="1"/>
  <c r="BA243" i="1"/>
  <c r="AW243" i="17" s="1"/>
  <c r="BA247" i="1"/>
  <c r="BB247" i="1" s="1"/>
  <c r="AV247" i="1" s="1"/>
  <c r="AV103" i="17"/>
  <c r="BA103" i="1"/>
  <c r="BB103" i="1" s="1"/>
  <c r="BA119" i="1"/>
  <c r="AW119" i="17" s="1"/>
  <c r="BA215" i="1"/>
  <c r="AV107" i="17"/>
  <c r="BA107" i="1"/>
  <c r="AV200" i="17"/>
  <c r="BA200" i="1"/>
  <c r="BA179" i="1"/>
  <c r="AW179" i="17" s="1"/>
  <c r="BA117" i="1"/>
  <c r="AW117" i="17" s="1"/>
  <c r="BA227" i="1"/>
  <c r="BB227" i="1" s="1"/>
  <c r="AV227" i="1" s="1"/>
  <c r="BA197" i="1"/>
  <c r="AW197" i="17" s="1"/>
  <c r="AT64" i="1"/>
  <c r="AT68" i="1"/>
  <c r="AT72" i="1"/>
  <c r="AN72" i="17" s="1"/>
  <c r="AT76" i="1"/>
  <c r="AT80" i="1"/>
  <c r="AZ80" i="1" s="1"/>
  <c r="BA80" i="1" s="1"/>
  <c r="BB80" i="1" s="1"/>
  <c r="AT84" i="1"/>
  <c r="AT88" i="1"/>
  <c r="AT92" i="1"/>
  <c r="AN92" i="17" s="1"/>
  <c r="AT96" i="1"/>
  <c r="AN96" i="17" s="1"/>
  <c r="AT100" i="1"/>
  <c r="AN100" i="17" s="1"/>
  <c r="AT104" i="1"/>
  <c r="AN104" i="17" s="1"/>
  <c r="AT108" i="1"/>
  <c r="AN108" i="17" s="1"/>
  <c r="AT112" i="1"/>
  <c r="AN112" i="17" s="1"/>
  <c r="AT116" i="1"/>
  <c r="AN116" i="17" s="1"/>
  <c r="AT120" i="1"/>
  <c r="AN120" i="17" s="1"/>
  <c r="AT124" i="1"/>
  <c r="AN124" i="17" s="1"/>
  <c r="AT128" i="1"/>
  <c r="AN128" i="17" s="1"/>
  <c r="AT132" i="1"/>
  <c r="AN132" i="17" s="1"/>
  <c r="AT136" i="1"/>
  <c r="AN136" i="17" s="1"/>
  <c r="AT140" i="1"/>
  <c r="AN140" i="17" s="1"/>
  <c r="AT144" i="1"/>
  <c r="AN144" i="17" s="1"/>
  <c r="AT148" i="1"/>
  <c r="AN148" i="17" s="1"/>
  <c r="AT152" i="1"/>
  <c r="AN152" i="17" s="1"/>
  <c r="AT156" i="1"/>
  <c r="AN156" i="17" s="1"/>
  <c r="AT160" i="1"/>
  <c r="AN160" i="17" s="1"/>
  <c r="AT164" i="1"/>
  <c r="AN164" i="17" s="1"/>
  <c r="AT168" i="1"/>
  <c r="AN168" i="17" s="1"/>
  <c r="AT172" i="1"/>
  <c r="AN172" i="17" s="1"/>
  <c r="AT176" i="1"/>
  <c r="AN176" i="17" s="1"/>
  <c r="AT180" i="1"/>
  <c r="AN180" i="17" s="1"/>
  <c r="AT184" i="1"/>
  <c r="AN184" i="17" s="1"/>
  <c r="AT188" i="1"/>
  <c r="AN188" i="17" s="1"/>
  <c r="AT192" i="1"/>
  <c r="AN192" i="17" s="1"/>
  <c r="AT196" i="1"/>
  <c r="AN196" i="17" s="1"/>
  <c r="AT200" i="1"/>
  <c r="AN200" i="17" s="1"/>
  <c r="AT204" i="1"/>
  <c r="AN204" i="17" s="1"/>
  <c r="AT208" i="1"/>
  <c r="AN208" i="17" s="1"/>
  <c r="AT212" i="1"/>
  <c r="AN212" i="17" s="1"/>
  <c r="AT216" i="1"/>
  <c r="AN216" i="17" s="1"/>
  <c r="AT220" i="1"/>
  <c r="AN220" i="17" s="1"/>
  <c r="AT224" i="1"/>
  <c r="AN224" i="17" s="1"/>
  <c r="AT228" i="1"/>
  <c r="AN228" i="17" s="1"/>
  <c r="AT232" i="1"/>
  <c r="AN232" i="17" s="1"/>
  <c r="AT236" i="1"/>
  <c r="AN236" i="17" s="1"/>
  <c r="AT240" i="1"/>
  <c r="AN240" i="17" s="1"/>
  <c r="AT244" i="1"/>
  <c r="AN244" i="17" s="1"/>
  <c r="AT248" i="1"/>
  <c r="AN248" i="17" s="1"/>
  <c r="AT252" i="1"/>
  <c r="AN252" i="17" s="1"/>
  <c r="AT256" i="1"/>
  <c r="AN256" i="17" s="1"/>
  <c r="AT260" i="1"/>
  <c r="AN260" i="17" s="1"/>
  <c r="AT65" i="1"/>
  <c r="AN65" i="17" s="1"/>
  <c r="AT69" i="1"/>
  <c r="AN69" i="17" s="1"/>
  <c r="AT73" i="1"/>
  <c r="AT77" i="1"/>
  <c r="AT81" i="1"/>
  <c r="AT85" i="1"/>
  <c r="AN85" i="17" s="1"/>
  <c r="AT89" i="1"/>
  <c r="AT93" i="1"/>
  <c r="AN93" i="17" s="1"/>
  <c r="AT97" i="1"/>
  <c r="AN97" i="17" s="1"/>
  <c r="AT101" i="1"/>
  <c r="AN101" i="17" s="1"/>
  <c r="AT105" i="1"/>
  <c r="AN105" i="17" s="1"/>
  <c r="AT109" i="1"/>
  <c r="AN109" i="17" s="1"/>
  <c r="AT113" i="1"/>
  <c r="AN113" i="17" s="1"/>
  <c r="AT117" i="1"/>
  <c r="AN117" i="17" s="1"/>
  <c r="AT121" i="1"/>
  <c r="AN121" i="17" s="1"/>
  <c r="AT125" i="1"/>
  <c r="AN125" i="17" s="1"/>
  <c r="AT129" i="1"/>
  <c r="AN129" i="17" s="1"/>
  <c r="AT133" i="1"/>
  <c r="AN133" i="17" s="1"/>
  <c r="AT137" i="1"/>
  <c r="AN137" i="17" s="1"/>
  <c r="AT141" i="1"/>
  <c r="AN141" i="17" s="1"/>
  <c r="AT145" i="1"/>
  <c r="AN145" i="17" s="1"/>
  <c r="AT149" i="1"/>
  <c r="AN149" i="17" s="1"/>
  <c r="AT153" i="1"/>
  <c r="AN153" i="17" s="1"/>
  <c r="AT157" i="1"/>
  <c r="AN157" i="17" s="1"/>
  <c r="AT161" i="1"/>
  <c r="AN161" i="17" s="1"/>
  <c r="AT165" i="1"/>
  <c r="AN165" i="17" s="1"/>
  <c r="AT169" i="1"/>
  <c r="AN169" i="17" s="1"/>
  <c r="AT173" i="1"/>
  <c r="AN173" i="17" s="1"/>
  <c r="AT177" i="1"/>
  <c r="AN177" i="17" s="1"/>
  <c r="AT181" i="1"/>
  <c r="AN181" i="17" s="1"/>
  <c r="AT185" i="1"/>
  <c r="AN185" i="17" s="1"/>
  <c r="AT189" i="1"/>
  <c r="AN189" i="17" s="1"/>
  <c r="AT193" i="1"/>
  <c r="AN193" i="17" s="1"/>
  <c r="AT197" i="1"/>
  <c r="AN197" i="17" s="1"/>
  <c r="AT201" i="1"/>
  <c r="AN201" i="17" s="1"/>
  <c r="AT205" i="1"/>
  <c r="AN205" i="17" s="1"/>
  <c r="AT209" i="1"/>
  <c r="AN209" i="17" s="1"/>
  <c r="AT213" i="1"/>
  <c r="AN213" i="17" s="1"/>
  <c r="AT217" i="1"/>
  <c r="AN217" i="17" s="1"/>
  <c r="AT221" i="1"/>
  <c r="AN221" i="17" s="1"/>
  <c r="AT225" i="1"/>
  <c r="AN225" i="17" s="1"/>
  <c r="AT229" i="1"/>
  <c r="AN229" i="17" s="1"/>
  <c r="AT233" i="1"/>
  <c r="AN233" i="17" s="1"/>
  <c r="AT237" i="1"/>
  <c r="AN237" i="17" s="1"/>
  <c r="AT241" i="1"/>
  <c r="AN241" i="17" s="1"/>
  <c r="AT245" i="1"/>
  <c r="AN245" i="17" s="1"/>
  <c r="AT249" i="1"/>
  <c r="AN249" i="17" s="1"/>
  <c r="AT253" i="1"/>
  <c r="AN253" i="17" s="1"/>
  <c r="AT257" i="1"/>
  <c r="AN257" i="17" s="1"/>
  <c r="AT261" i="1"/>
  <c r="AN261" i="17" s="1"/>
  <c r="AT66" i="1"/>
  <c r="AT70" i="1"/>
  <c r="AT74" i="1"/>
  <c r="AT78" i="1"/>
  <c r="AT82" i="1"/>
  <c r="AT86" i="1"/>
  <c r="AT90" i="1"/>
  <c r="AN90" i="17" s="1"/>
  <c r="AT94" i="1"/>
  <c r="AN94" i="17" s="1"/>
  <c r="AT98" i="1"/>
  <c r="AN98" i="17" s="1"/>
  <c r="AT102" i="1"/>
  <c r="AN102" i="17" s="1"/>
  <c r="AT106" i="1"/>
  <c r="AN106" i="17" s="1"/>
  <c r="AT110" i="1"/>
  <c r="AN110" i="17" s="1"/>
  <c r="AT114" i="1"/>
  <c r="AN114" i="17" s="1"/>
  <c r="AT118" i="1"/>
  <c r="AN118" i="17" s="1"/>
  <c r="AT122" i="1"/>
  <c r="AN122" i="17" s="1"/>
  <c r="AT126" i="1"/>
  <c r="AN126" i="17" s="1"/>
  <c r="AT130" i="1"/>
  <c r="AN130" i="17" s="1"/>
  <c r="AT134" i="1"/>
  <c r="AN134" i="17" s="1"/>
  <c r="AT138" i="1"/>
  <c r="AN138" i="17" s="1"/>
  <c r="AT142" i="1"/>
  <c r="AN142" i="17" s="1"/>
  <c r="AT146" i="1"/>
  <c r="AN146" i="17" s="1"/>
  <c r="AT150" i="1"/>
  <c r="AN150" i="17" s="1"/>
  <c r="AT154" i="1"/>
  <c r="AN154" i="17" s="1"/>
  <c r="AT158" i="1"/>
  <c r="AN158" i="17" s="1"/>
  <c r="AT162" i="1"/>
  <c r="AN162" i="17" s="1"/>
  <c r="AT166" i="1"/>
  <c r="AN166" i="17" s="1"/>
  <c r="AT170" i="1"/>
  <c r="AN170" i="17" s="1"/>
  <c r="AT174" i="1"/>
  <c r="AN174" i="17" s="1"/>
  <c r="AT178" i="1"/>
  <c r="AN178" i="17" s="1"/>
  <c r="AT182" i="1"/>
  <c r="AN182" i="17" s="1"/>
  <c r="AT186" i="1"/>
  <c r="AN186" i="17" s="1"/>
  <c r="AT190" i="1"/>
  <c r="AN190" i="17" s="1"/>
  <c r="AT194" i="1"/>
  <c r="AN194" i="17" s="1"/>
  <c r="AT198" i="1"/>
  <c r="AN198" i="17" s="1"/>
  <c r="AT202" i="1"/>
  <c r="AN202" i="17" s="1"/>
  <c r="AT206" i="1"/>
  <c r="AN206" i="17" s="1"/>
  <c r="AT210" i="1"/>
  <c r="AN210" i="17" s="1"/>
  <c r="AT214" i="1"/>
  <c r="AN214" i="17" s="1"/>
  <c r="AT218" i="1"/>
  <c r="AN218" i="17" s="1"/>
  <c r="AT222" i="1"/>
  <c r="AN222" i="17" s="1"/>
  <c r="AT226" i="1"/>
  <c r="AN226" i="17" s="1"/>
  <c r="AT230" i="1"/>
  <c r="AN230" i="17" s="1"/>
  <c r="AT234" i="1"/>
  <c r="AN234" i="17" s="1"/>
  <c r="AT238" i="1"/>
  <c r="AN238" i="17" s="1"/>
  <c r="AT242" i="1"/>
  <c r="AN242" i="17" s="1"/>
  <c r="AT246" i="1"/>
  <c r="AN246" i="17" s="1"/>
  <c r="AT250" i="1"/>
  <c r="AN250" i="17" s="1"/>
  <c r="AT254" i="1"/>
  <c r="AN254" i="17" s="1"/>
  <c r="AT258" i="1"/>
  <c r="AN258" i="17" s="1"/>
  <c r="AT262" i="1"/>
  <c r="AN262" i="17" s="1"/>
  <c r="AT67" i="1"/>
  <c r="AT83" i="1"/>
  <c r="AT99" i="1"/>
  <c r="AN99" i="17" s="1"/>
  <c r="AT115" i="1"/>
  <c r="AN115" i="17" s="1"/>
  <c r="AT131" i="1"/>
  <c r="AN131" i="17" s="1"/>
  <c r="AT147" i="1"/>
  <c r="AN147" i="17" s="1"/>
  <c r="AT163" i="1"/>
  <c r="AN163" i="17" s="1"/>
  <c r="AT179" i="1"/>
  <c r="AN179" i="17" s="1"/>
  <c r="AT195" i="1"/>
  <c r="AN195" i="17" s="1"/>
  <c r="AT211" i="1"/>
  <c r="AN211" i="17" s="1"/>
  <c r="AT227" i="1"/>
  <c r="AN227" i="17" s="1"/>
  <c r="AT243" i="1"/>
  <c r="AN243" i="17" s="1"/>
  <c r="AT259" i="1"/>
  <c r="AN259" i="17" s="1"/>
  <c r="AT71" i="1"/>
  <c r="AT87" i="1"/>
  <c r="AT103" i="1"/>
  <c r="AN103" i="17" s="1"/>
  <c r="AT119" i="1"/>
  <c r="AN119" i="17" s="1"/>
  <c r="AT135" i="1"/>
  <c r="AN135" i="17" s="1"/>
  <c r="AT151" i="1"/>
  <c r="AN151" i="17" s="1"/>
  <c r="AT167" i="1"/>
  <c r="AN167" i="17" s="1"/>
  <c r="AT183" i="1"/>
  <c r="AN183" i="17" s="1"/>
  <c r="AT199" i="1"/>
  <c r="AN199" i="17" s="1"/>
  <c r="AT215" i="1"/>
  <c r="AN215" i="17" s="1"/>
  <c r="AT231" i="1"/>
  <c r="AN231" i="17" s="1"/>
  <c r="AT247" i="1"/>
  <c r="AN247" i="17" s="1"/>
  <c r="AT75" i="1"/>
  <c r="AT91" i="1"/>
  <c r="AN91" i="17" s="1"/>
  <c r="AT107" i="1"/>
  <c r="AN107" i="17" s="1"/>
  <c r="AT123" i="1"/>
  <c r="AN123" i="17" s="1"/>
  <c r="AT139" i="1"/>
  <c r="AN139" i="17" s="1"/>
  <c r="AT155" i="1"/>
  <c r="AN155" i="17" s="1"/>
  <c r="AT171" i="1"/>
  <c r="AN171" i="17" s="1"/>
  <c r="AT187" i="1"/>
  <c r="AN187" i="17" s="1"/>
  <c r="AT203" i="1"/>
  <c r="AN203" i="17" s="1"/>
  <c r="AT219" i="1"/>
  <c r="AN219" i="17" s="1"/>
  <c r="AT235" i="1"/>
  <c r="AN235" i="17" s="1"/>
  <c r="AT251" i="1"/>
  <c r="AN251" i="17" s="1"/>
  <c r="AT79" i="1"/>
  <c r="AZ79" i="1" s="1"/>
  <c r="AT95" i="1"/>
  <c r="AN95" i="17" s="1"/>
  <c r="AT111" i="1"/>
  <c r="AN111" i="17" s="1"/>
  <c r="AT127" i="1"/>
  <c r="AN127" i="17" s="1"/>
  <c r="AT143" i="1"/>
  <c r="AN143" i="17" s="1"/>
  <c r="AT159" i="1"/>
  <c r="AN159" i="17" s="1"/>
  <c r="AT175" i="1"/>
  <c r="AN175" i="17" s="1"/>
  <c r="AT191" i="1"/>
  <c r="AN191" i="17" s="1"/>
  <c r="AT207" i="1"/>
  <c r="AN207" i="17" s="1"/>
  <c r="AT223" i="1"/>
  <c r="AN223" i="17" s="1"/>
  <c r="AT239" i="1"/>
  <c r="AN239" i="17" s="1"/>
  <c r="AT255" i="1"/>
  <c r="AN255" i="17" s="1"/>
  <c r="BA259" i="1"/>
  <c r="BB259" i="1" s="1"/>
  <c r="AV259" i="1" s="1"/>
  <c r="AV135" i="17"/>
  <c r="BA135" i="1"/>
  <c r="AV138" i="17"/>
  <c r="BA138" i="1"/>
  <c r="AV154" i="17"/>
  <c r="BA154" i="1"/>
  <c r="AW154" i="17" s="1"/>
  <c r="AV160" i="17"/>
  <c r="BA160" i="1"/>
  <c r="AV169" i="17"/>
  <c r="BA169" i="1"/>
  <c r="AV40" i="17"/>
  <c r="BA40" i="1"/>
  <c r="BB40" i="1" s="1"/>
  <c r="AV40" i="1" s="1"/>
  <c r="BA14" i="1"/>
  <c r="BB14" i="1" s="1"/>
  <c r="AV14" i="1" s="1"/>
  <c r="BA30" i="1"/>
  <c r="BB30" i="1" s="1"/>
  <c r="AV30" i="1" s="1"/>
  <c r="BA22" i="1"/>
  <c r="BB22" i="1" s="1"/>
  <c r="BA48" i="1"/>
  <c r="BB48" i="1" s="1"/>
  <c r="BA59" i="1"/>
  <c r="BB59" i="1" s="1"/>
  <c r="AV59" i="1" s="1"/>
  <c r="BA16" i="1"/>
  <c r="BB16" i="1" s="1"/>
  <c r="AV16" i="1" s="1"/>
  <c r="BA57" i="1"/>
  <c r="BB57" i="1" s="1"/>
  <c r="AV57" i="1" s="1"/>
  <c r="BA24" i="1"/>
  <c r="BB24" i="1" s="1"/>
  <c r="AV24" i="1" s="1"/>
  <c r="BA44" i="1"/>
  <c r="BB44" i="1" s="1"/>
  <c r="AV44" i="1" s="1"/>
  <c r="BA56" i="1"/>
  <c r="BB56" i="1" s="1"/>
  <c r="AV56" i="1" s="1"/>
  <c r="BA38" i="1"/>
  <c r="BB38" i="1" s="1"/>
  <c r="BA42" i="1"/>
  <c r="BB42" i="1" s="1"/>
  <c r="AV42" i="1" s="1"/>
  <c r="BA46" i="1"/>
  <c r="BB46" i="1" s="1"/>
  <c r="BA54" i="1"/>
  <c r="BB54" i="1" s="1"/>
  <c r="BA50" i="1"/>
  <c r="BB50" i="1" s="1"/>
  <c r="BA34" i="1"/>
  <c r="BB34" i="1" s="1"/>
  <c r="AV34" i="1" s="1"/>
  <c r="BA25" i="1"/>
  <c r="BB25" i="1" s="1"/>
  <c r="AV25" i="1" s="1"/>
  <c r="BA58" i="1"/>
  <c r="BB58" i="1" s="1"/>
  <c r="AV58" i="1" s="1"/>
  <c r="AV27" i="17"/>
  <c r="BA27" i="1"/>
  <c r="BA28" i="1"/>
  <c r="BB28" i="1" s="1"/>
  <c r="AV28" i="1" s="1"/>
  <c r="BA18" i="1"/>
  <c r="AW18" i="17" s="1"/>
  <c r="BA45" i="1"/>
  <c r="BB45" i="1" s="1"/>
  <c r="AV45" i="1" s="1"/>
  <c r="BA52" i="1"/>
  <c r="BB52" i="1" s="1"/>
  <c r="AV52" i="1" s="1"/>
  <c r="AT60" i="1"/>
  <c r="AT11" i="1"/>
  <c r="AT15" i="1"/>
  <c r="AN15" i="17" s="1"/>
  <c r="AT19" i="1"/>
  <c r="AN19" i="17" s="1"/>
  <c r="AT23" i="1"/>
  <c r="AN23" i="17" s="1"/>
  <c r="AT27" i="1"/>
  <c r="AN27" i="17" s="1"/>
  <c r="AT31" i="1"/>
  <c r="AN31" i="17" s="1"/>
  <c r="AT35" i="1"/>
  <c r="AN35" i="17" s="1"/>
  <c r="AT39" i="1"/>
  <c r="AN39" i="17" s="1"/>
  <c r="AT43" i="1"/>
  <c r="AN43" i="17" s="1"/>
  <c r="AT47" i="1"/>
  <c r="AN47" i="17" s="1"/>
  <c r="AT51" i="1"/>
  <c r="AN51" i="17" s="1"/>
  <c r="AT55" i="1"/>
  <c r="AT59" i="1"/>
  <c r="AT45" i="1"/>
  <c r="AN45" i="17" s="1"/>
  <c r="AT14" i="1"/>
  <c r="AN14" i="17" s="1"/>
  <c r="AT18" i="1"/>
  <c r="AN18" i="17" s="1"/>
  <c r="AT22" i="1"/>
  <c r="AN22" i="17" s="1"/>
  <c r="AT26" i="1"/>
  <c r="AN26" i="17" s="1"/>
  <c r="AT30" i="1"/>
  <c r="AN30" i="17" s="1"/>
  <c r="AT38" i="1"/>
  <c r="AN38" i="17" s="1"/>
  <c r="AT42" i="1"/>
  <c r="AN42" i="17" s="1"/>
  <c r="AT46" i="1"/>
  <c r="AN46" i="17" s="1"/>
  <c r="AT54" i="1"/>
  <c r="AN54" i="17" s="1"/>
  <c r="AT12" i="1"/>
  <c r="AT16" i="1"/>
  <c r="AN16" i="17" s="1"/>
  <c r="AT20" i="1"/>
  <c r="AN20" i="17" s="1"/>
  <c r="AT24" i="1"/>
  <c r="AN24" i="17" s="1"/>
  <c r="AT28" i="1"/>
  <c r="AN28" i="17" s="1"/>
  <c r="AT32" i="1"/>
  <c r="AN32" i="17" s="1"/>
  <c r="AT36" i="1"/>
  <c r="AN36" i="17" s="1"/>
  <c r="AT40" i="1"/>
  <c r="AN40" i="17" s="1"/>
  <c r="AT44" i="1"/>
  <c r="AN44" i="17" s="1"/>
  <c r="AT48" i="1"/>
  <c r="AN48" i="17" s="1"/>
  <c r="AT52" i="1"/>
  <c r="AN52" i="17" s="1"/>
  <c r="AT56" i="1"/>
  <c r="AN56" i="17" s="1"/>
  <c r="AT13" i="1"/>
  <c r="AT17" i="1"/>
  <c r="AN17" i="17" s="1"/>
  <c r="AT21" i="1"/>
  <c r="AN21" i="17" s="1"/>
  <c r="AT25" i="1"/>
  <c r="AN25" i="17" s="1"/>
  <c r="AT29" i="1"/>
  <c r="AN29" i="17" s="1"/>
  <c r="AT33" i="1"/>
  <c r="AN33" i="17" s="1"/>
  <c r="AT37" i="1"/>
  <c r="AN37" i="17" s="1"/>
  <c r="AT41" i="1"/>
  <c r="AN41" i="17" s="1"/>
  <c r="AT49" i="1"/>
  <c r="AN49" i="17" s="1"/>
  <c r="AT53" i="1"/>
  <c r="AN53" i="17" s="1"/>
  <c r="AT57" i="1"/>
  <c r="AN57" i="17" s="1"/>
  <c r="AT34" i="1"/>
  <c r="AN34" i="17" s="1"/>
  <c r="AT50" i="1"/>
  <c r="AN50" i="17" s="1"/>
  <c r="AT58" i="1"/>
  <c r="AN58" i="17" s="1"/>
  <c r="AT63" i="1"/>
  <c r="AZ63" i="1" s="1"/>
  <c r="BA63" i="1" s="1"/>
  <c r="AZ78" i="1"/>
  <c r="BA78" i="1" s="1"/>
  <c r="AZ13" i="1"/>
  <c r="BA13" i="1" s="1"/>
  <c r="BB13" i="1" s="1"/>
  <c r="AV13" i="1" s="1"/>
  <c r="AZ68" i="1"/>
  <c r="BA68" i="1" s="1"/>
  <c r="AD9" i="6"/>
  <c r="AD96" i="6"/>
  <c r="AD12" i="6"/>
  <c r="AD99" i="6"/>
  <c r="AD18" i="6"/>
  <c r="AD105" i="6"/>
  <c r="AD6" i="6"/>
  <c r="AD93" i="6"/>
  <c r="U34" i="1"/>
  <c r="H12" i="17" s="1"/>
  <c r="AF77" i="1"/>
  <c r="R200" i="7" s="1"/>
  <c r="R198" i="7"/>
  <c r="AF74" i="1"/>
  <c r="R197" i="7" s="1"/>
  <c r="R201" i="7"/>
  <c r="AV243" i="17"/>
  <c r="BB211" i="1"/>
  <c r="AV211" i="1" s="1"/>
  <c r="BB108" i="1"/>
  <c r="AV108" i="1" s="1"/>
  <c r="BB90" i="1"/>
  <c r="AX90" i="17" s="1"/>
  <c r="BB214" i="1"/>
  <c r="AV214" i="1" s="1"/>
  <c r="BB231" i="1"/>
  <c r="AV231" i="1" s="1"/>
  <c r="AW153" i="17"/>
  <c r="BB153" i="1"/>
  <c r="AV153" i="1" s="1"/>
  <c r="BB218" i="1"/>
  <c r="AV218" i="1" s="1"/>
  <c r="BB262" i="1"/>
  <c r="AV262" i="1" s="1"/>
  <c r="BB149" i="1"/>
  <c r="AV149" i="1" s="1"/>
  <c r="BB251" i="1"/>
  <c r="AV251" i="1" s="1"/>
  <c r="BB186" i="1"/>
  <c r="AV186" i="1" s="1"/>
  <c r="BB105" i="1"/>
  <c r="AV105" i="1" s="1"/>
  <c r="BB248" i="1"/>
  <c r="AV248" i="1" s="1"/>
  <c r="BB193" i="1"/>
  <c r="AV193" i="1" s="1"/>
  <c r="BB208" i="1"/>
  <c r="AV208" i="1" s="1"/>
  <c r="BB260" i="1"/>
  <c r="AV260" i="1" s="1"/>
  <c r="AV208" i="17"/>
  <c r="BB124" i="1"/>
  <c r="AV124" i="1" s="1"/>
  <c r="BB112" i="1"/>
  <c r="AV112" i="1" s="1"/>
  <c r="BB219" i="1"/>
  <c r="AV219" i="1" s="1"/>
  <c r="BB184" i="1"/>
  <c r="AV184" i="1" s="1"/>
  <c r="BB94" i="1"/>
  <c r="AV94" i="1" s="1"/>
  <c r="BB240" i="1"/>
  <c r="AV240" i="1" s="1"/>
  <c r="BB141" i="1"/>
  <c r="AV141" i="1" s="1"/>
  <c r="BB198" i="1"/>
  <c r="AV198" i="1" s="1"/>
  <c r="BB93" i="1"/>
  <c r="AV93" i="1" s="1"/>
  <c r="BB250" i="1"/>
  <c r="AV250" i="1" s="1"/>
  <c r="U94" i="1"/>
  <c r="U90" i="1"/>
  <c r="AA63" i="1" s="1"/>
  <c r="U86" i="1"/>
  <c r="U82" i="1"/>
  <c r="U89" i="1"/>
  <c r="U84" i="1"/>
  <c r="U93" i="1"/>
  <c r="U88" i="1"/>
  <c r="U83" i="1"/>
  <c r="U92" i="1"/>
  <c r="U87" i="1"/>
  <c r="U81" i="1"/>
  <c r="U76" i="1"/>
  <c r="V6" i="1"/>
  <c r="U91" i="1"/>
  <c r="U68" i="1"/>
  <c r="U85" i="1"/>
  <c r="U62" i="1"/>
  <c r="U80" i="1"/>
  <c r="AF43" i="1" s="1"/>
  <c r="U54" i="1"/>
  <c r="BB192" i="1"/>
  <c r="AV192" i="1" s="1"/>
  <c r="BB199" i="1"/>
  <c r="AV199" i="1" s="1"/>
  <c r="BB216" i="1"/>
  <c r="AV216" i="1" s="1"/>
  <c r="BB183" i="1"/>
  <c r="AV183" i="1" s="1"/>
  <c r="BB234" i="1"/>
  <c r="AV234" i="1" s="1"/>
  <c r="BB115" i="1"/>
  <c r="AV115" i="1" s="1"/>
  <c r="BB177" i="1"/>
  <c r="AV177" i="1" s="1"/>
  <c r="BB109" i="1"/>
  <c r="AV109" i="1" s="1"/>
  <c r="BB228" i="1"/>
  <c r="AV228" i="1" s="1"/>
  <c r="BB102" i="1"/>
  <c r="AV102" i="1" s="1"/>
  <c r="BB165" i="1"/>
  <c r="AV165" i="1" s="1"/>
  <c r="BB189" i="1"/>
  <c r="AV189" i="1" s="1"/>
  <c r="BB203" i="1"/>
  <c r="AV203" i="1" s="1"/>
  <c r="AV227" i="17"/>
  <c r="BB232" i="1"/>
  <c r="AV232" i="1" s="1"/>
  <c r="BB120" i="1"/>
  <c r="AV120" i="1" s="1"/>
  <c r="BB187" i="1"/>
  <c r="AV187" i="1" s="1"/>
  <c r="BB206" i="1"/>
  <c r="AV206" i="1" s="1"/>
  <c r="BB256" i="1"/>
  <c r="AV256" i="1" s="1"/>
  <c r="BB244" i="1"/>
  <c r="AV244" i="1" s="1"/>
  <c r="BB222" i="1"/>
  <c r="AV222" i="1" s="1"/>
  <c r="BB212" i="1"/>
  <c r="AV212" i="1" s="1"/>
  <c r="BB116" i="1"/>
  <c r="AV116" i="1" s="1"/>
  <c r="BB236" i="1"/>
  <c r="AX236" i="17" s="1"/>
  <c r="BB178" i="1"/>
  <c r="AV178" i="1" s="1"/>
  <c r="BB111" i="1"/>
  <c r="AV111" i="1" s="1"/>
  <c r="BB224" i="1"/>
  <c r="AV224" i="1" s="1"/>
  <c r="BB133" i="1"/>
  <c r="AV133" i="1" s="1"/>
  <c r="BB157" i="1"/>
  <c r="AV157" i="1" s="1"/>
  <c r="BB123" i="1"/>
  <c r="AV123" i="1" s="1"/>
  <c r="BB202" i="1"/>
  <c r="AV202" i="1" s="1"/>
  <c r="BB235" i="1"/>
  <c r="AV235" i="1" s="1"/>
  <c r="BB196" i="1"/>
  <c r="AV196" i="1" s="1"/>
  <c r="AW211" i="17"/>
  <c r="AV54" i="17"/>
  <c r="C19" i="16"/>
  <c r="BE41" i="1"/>
  <c r="BE30" i="1"/>
  <c r="AT7" i="1"/>
  <c r="AT4" i="1" s="1"/>
  <c r="BE38" i="1"/>
  <c r="BE40" i="1"/>
  <c r="BE34" i="1"/>
  <c r="BE26" i="1"/>
  <c r="AU7" i="1"/>
  <c r="AU4" i="1" s="1"/>
  <c r="AX7" i="1"/>
  <c r="AW7" i="1"/>
  <c r="BE22" i="1"/>
  <c r="AW214" i="17"/>
  <c r="AW251" i="17"/>
  <c r="AV34" i="17"/>
  <c r="AV111" i="17"/>
  <c r="AV187" i="17"/>
  <c r="AV179" i="17"/>
  <c r="AW102" i="17"/>
  <c r="AW105" i="17"/>
  <c r="Y28" i="1"/>
  <c r="Z56" i="1" s="1"/>
  <c r="C46" i="17" s="1"/>
  <c r="BB19" i="1"/>
  <c r="AV19" i="1" s="1"/>
  <c r="BB17" i="1"/>
  <c r="AV17" i="1" s="1"/>
  <c r="BB43" i="1"/>
  <c r="BB159" i="1"/>
  <c r="AW258" i="17"/>
  <c r="BB99" i="1"/>
  <c r="AW128" i="17"/>
  <c r="AW204" i="17"/>
  <c r="AW183" i="17"/>
  <c r="AW218" i="17"/>
  <c r="AV22" i="17"/>
  <c r="AV120" i="17"/>
  <c r="BB29" i="1"/>
  <c r="AV29" i="1" s="1"/>
  <c r="BB147" i="1"/>
  <c r="BB110" i="1"/>
  <c r="BB98" i="1"/>
  <c r="BB207" i="1"/>
  <c r="AW172" i="17"/>
  <c r="BB194" i="1"/>
  <c r="BB136" i="1"/>
  <c r="AW230" i="17"/>
  <c r="BB21" i="1"/>
  <c r="AV21" i="1" s="1"/>
  <c r="BB36" i="1"/>
  <c r="AV36" i="1" s="1"/>
  <c r="BB20" i="1"/>
  <c r="AW140" i="17"/>
  <c r="AW238" i="17"/>
  <c r="BB32" i="1"/>
  <c r="BB49" i="1"/>
  <c r="AV49" i="1" s="1"/>
  <c r="BB23" i="1"/>
  <c r="BB31" i="1"/>
  <c r="BB39" i="1"/>
  <c r="AV39" i="1" s="1"/>
  <c r="AW143" i="17"/>
  <c r="AW175" i="17"/>
  <c r="AW100" i="17"/>
  <c r="AV164" i="17"/>
  <c r="BB35" i="1"/>
  <c r="AW104" i="17"/>
  <c r="AW187" i="17"/>
  <c r="AV20" i="17"/>
  <c r="AV143" i="17"/>
  <c r="AV167" i="17"/>
  <c r="AV204" i="17"/>
  <c r="AV229" i="17"/>
  <c r="BB15" i="1"/>
  <c r="AV15" i="1" s="1"/>
  <c r="BB27" i="1"/>
  <c r="AV27" i="1" s="1"/>
  <c r="BB51" i="1"/>
  <c r="AV51" i="1" s="1"/>
  <c r="BB53" i="1"/>
  <c r="BB60" i="1"/>
  <c r="AV60" i="1" s="1"/>
  <c r="AW47" i="17"/>
  <c r="BB139" i="1"/>
  <c r="BB114" i="1"/>
  <c r="AW138" i="17"/>
  <c r="AW148" i="17"/>
  <c r="AW201" i="17"/>
  <c r="AW225" i="17"/>
  <c r="AW125" i="17"/>
  <c r="BB91" i="1"/>
  <c r="BB41" i="1"/>
  <c r="AV41" i="1" s="1"/>
  <c r="BB33" i="1"/>
  <c r="AV33" i="1" s="1"/>
  <c r="BB26" i="1"/>
  <c r="AV136" i="17"/>
  <c r="AV140" i="17"/>
  <c r="AV152" i="17"/>
  <c r="AV156" i="17"/>
  <c r="AV168" i="17"/>
  <c r="AV91" i="17"/>
  <c r="AV106" i="17"/>
  <c r="AV126" i="17"/>
  <c r="AO263" i="17"/>
  <c r="AS264" i="1"/>
  <c r="AV37" i="17"/>
  <c r="AV15" i="17"/>
  <c r="AW90" i="17"/>
  <c r="AW108" i="17"/>
  <c r="AW184" i="17"/>
  <c r="AV25" i="17"/>
  <c r="AV46" i="17"/>
  <c r="AU54" i="17"/>
  <c r="AV59" i="17"/>
  <c r="AV94" i="17"/>
  <c r="AV128" i="17"/>
  <c r="AV133" i="17"/>
  <c r="AV134" i="17"/>
  <c r="AV144" i="17"/>
  <c r="AV149" i="17"/>
  <c r="AV150" i="17"/>
  <c r="AV151" i="17"/>
  <c r="AV165" i="17"/>
  <c r="AV166" i="17"/>
  <c r="AV172" i="17"/>
  <c r="AV176" i="17"/>
  <c r="AV180" i="17"/>
  <c r="AV184" i="17"/>
  <c r="AV188" i="17"/>
  <c r="AV192" i="17"/>
  <c r="AV196" i="17"/>
  <c r="AV212" i="17"/>
  <c r="AV216" i="17"/>
  <c r="AV220" i="17"/>
  <c r="AV224" i="17"/>
  <c r="AV228" i="17"/>
  <c r="AV232" i="17"/>
  <c r="AV236" i="17"/>
  <c r="AV240" i="17"/>
  <c r="AU243" i="17"/>
  <c r="AV244" i="17"/>
  <c r="AV248" i="17"/>
  <c r="AV252" i="17"/>
  <c r="AV256" i="17"/>
  <c r="AV260" i="17"/>
  <c r="AW256" i="17"/>
  <c r="AV29" i="17"/>
  <c r="AV42" i="17"/>
  <c r="AV90" i="17"/>
  <c r="AV98" i="17"/>
  <c r="AV115" i="17"/>
  <c r="AW109" i="17"/>
  <c r="AW123" i="17"/>
  <c r="AW141" i="17"/>
  <c r="AW173" i="17"/>
  <c r="AW199" i="17"/>
  <c r="AW216" i="17"/>
  <c r="AW228" i="17"/>
  <c r="AW235" i="17"/>
  <c r="AW240" i="17"/>
  <c r="AW244" i="17"/>
  <c r="AV19" i="17"/>
  <c r="AV33" i="17"/>
  <c r="AV35" i="17"/>
  <c r="AV39" i="17"/>
  <c r="AV48" i="17"/>
  <c r="AV50" i="17"/>
  <c r="AV52" i="17"/>
  <c r="AV93" i="17"/>
  <c r="AV97" i="17"/>
  <c r="AV105" i="17"/>
  <c r="AV110" i="17"/>
  <c r="AV114" i="17"/>
  <c r="AV123" i="17"/>
  <c r="AV127" i="17"/>
  <c r="AV131" i="17"/>
  <c r="AV132" i="17"/>
  <c r="AV139" i="17"/>
  <c r="AV147" i="17"/>
  <c r="AV148" i="17"/>
  <c r="AV159" i="17"/>
  <c r="AV163" i="17"/>
  <c r="AV171" i="17"/>
  <c r="AV175" i="17"/>
  <c r="AV183" i="17"/>
  <c r="AV191" i="17"/>
  <c r="AU194" i="17"/>
  <c r="AV199" i="17"/>
  <c r="AV203" i="17"/>
  <c r="AV207" i="17"/>
  <c r="AV215" i="17"/>
  <c r="AV219" i="17"/>
  <c r="AV223" i="17"/>
  <c r="AV231" i="17"/>
  <c r="AV235" i="17"/>
  <c r="AV239" i="17"/>
  <c r="AV247" i="17"/>
  <c r="AV251" i="17"/>
  <c r="AV255" i="17"/>
  <c r="AV259" i="17"/>
  <c r="AO18" i="17"/>
  <c r="AO61" i="17" s="1"/>
  <c r="AW94" i="17"/>
  <c r="AW196" i="17"/>
  <c r="AW232" i="17"/>
  <c r="AV44" i="17"/>
  <c r="AV57" i="17"/>
  <c r="AV116" i="17"/>
  <c r="AV124" i="17"/>
  <c r="AW54" i="17"/>
  <c r="AW96" i="17"/>
  <c r="AW120" i="17"/>
  <c r="AW142" i="17"/>
  <c r="AW192" i="17"/>
  <c r="AW212" i="17"/>
  <c r="AW217" i="17"/>
  <c r="AW236" i="17"/>
  <c r="AW247" i="17"/>
  <c r="AV14" i="17"/>
  <c r="AV18" i="17"/>
  <c r="AV24" i="17"/>
  <c r="AV26" i="17"/>
  <c r="AV28" i="17"/>
  <c r="AV30" i="17"/>
  <c r="AV41" i="17"/>
  <c r="AV43" i="17"/>
  <c r="AV45" i="17"/>
  <c r="AV47" i="17"/>
  <c r="AU55" i="17"/>
  <c r="AV56" i="17"/>
  <c r="AV58" i="17"/>
  <c r="AV60" i="17"/>
  <c r="AV92" i="17"/>
  <c r="AV96" i="17"/>
  <c r="AU99" i="17"/>
  <c r="AV101" i="17"/>
  <c r="AV102" i="17"/>
  <c r="AV104" i="17"/>
  <c r="AV109" i="17"/>
  <c r="AV113" i="17"/>
  <c r="AU119" i="17"/>
  <c r="AV121" i="17"/>
  <c r="AV122" i="17"/>
  <c r="AV130" i="17"/>
  <c r="AV142" i="17"/>
  <c r="AV146" i="17"/>
  <c r="AV158" i="17"/>
  <c r="AV162" i="17"/>
  <c r="AV170" i="17"/>
  <c r="AV174" i="17"/>
  <c r="AW178" i="17"/>
  <c r="AV178" i="17"/>
  <c r="AV182" i="17"/>
  <c r="AU185" i="17"/>
  <c r="AV186" i="17"/>
  <c r="AV190" i="17"/>
  <c r="AV194" i="17"/>
  <c r="AW198" i="17"/>
  <c r="AV198" i="17"/>
  <c r="AW202" i="17"/>
  <c r="AV202" i="17"/>
  <c r="AV206" i="17"/>
  <c r="AV210" i="17"/>
  <c r="AV214" i="17"/>
  <c r="AV218" i="17"/>
  <c r="AW222" i="17"/>
  <c r="AV222" i="17"/>
  <c r="AV226" i="17"/>
  <c r="AV230" i="17"/>
  <c r="AV234" i="17"/>
  <c r="AV238" i="17"/>
  <c r="AV242" i="17"/>
  <c r="AV246" i="17"/>
  <c r="AV250" i="17"/>
  <c r="AU253" i="17"/>
  <c r="AV254" i="17"/>
  <c r="AV258" i="17"/>
  <c r="AV262" i="17"/>
  <c r="AW176" i="17"/>
  <c r="AV31" i="17"/>
  <c r="AW34" i="17"/>
  <c r="AW93" i="17"/>
  <c r="AW157" i="17"/>
  <c r="AW195" i="17"/>
  <c r="AW208" i="17"/>
  <c r="AW224" i="17"/>
  <c r="AW231" i="17"/>
  <c r="AW248" i="17"/>
  <c r="AW260" i="17"/>
  <c r="AV17" i="17"/>
  <c r="AV21" i="17"/>
  <c r="AV23" i="17"/>
  <c r="AV32" i="17"/>
  <c r="AV36" i="17"/>
  <c r="AV38" i="17"/>
  <c r="AV49" i="17"/>
  <c r="AV51" i="17"/>
  <c r="AV53" i="17"/>
  <c r="AV55" i="17"/>
  <c r="AV95" i="17"/>
  <c r="AV99" i="17"/>
  <c r="AV100" i="17"/>
  <c r="AV108" i="17"/>
  <c r="AV112" i="17"/>
  <c r="AV117" i="17"/>
  <c r="AV118" i="17"/>
  <c r="AV119" i="17"/>
  <c r="AV125" i="17"/>
  <c r="AU128" i="17"/>
  <c r="AV129" i="17"/>
  <c r="AV137" i="17"/>
  <c r="AV141" i="17"/>
  <c r="AU144" i="17"/>
  <c r="AV145" i="17"/>
  <c r="AV153" i="17"/>
  <c r="AV161" i="17"/>
  <c r="AV173" i="17"/>
  <c r="AV177" i="17"/>
  <c r="AV181" i="17"/>
  <c r="AV189" i="17"/>
  <c r="AV193" i="17"/>
  <c r="AV197" i="17"/>
  <c r="AV201" i="17"/>
  <c r="AV205" i="17"/>
  <c r="AU208" i="17"/>
  <c r="AV209" i="17"/>
  <c r="AV213" i="17"/>
  <c r="AV217" i="17"/>
  <c r="AV221" i="17"/>
  <c r="AV225" i="17"/>
  <c r="AU228" i="17"/>
  <c r="AV233" i="17"/>
  <c r="AW237" i="17"/>
  <c r="AV237" i="17"/>
  <c r="AV241" i="17"/>
  <c r="AV245" i="17"/>
  <c r="AV249" i="17"/>
  <c r="AV253" i="17"/>
  <c r="AV257" i="17"/>
  <c r="AV261" i="17"/>
  <c r="AQ263" i="17"/>
  <c r="AQ264" i="17" s="1"/>
  <c r="AW215" i="17"/>
  <c r="AW219" i="17"/>
  <c r="AW234" i="17"/>
  <c r="AW262" i="17"/>
  <c r="AW226" i="17"/>
  <c r="AW203" i="17"/>
  <c r="AU264" i="1"/>
  <c r="AR264" i="1"/>
  <c r="AV16" i="17"/>
  <c r="N78" i="7"/>
  <c r="AD41" i="1"/>
  <c r="G31" i="17" s="1"/>
  <c r="I31" i="17" s="1"/>
  <c r="AD40" i="1"/>
  <c r="G30" i="17" s="1"/>
  <c r="I30" i="17" s="1"/>
  <c r="AD39" i="1"/>
  <c r="G29" i="17" s="1"/>
  <c r="I29" i="17" s="1"/>
  <c r="AD38" i="1"/>
  <c r="G28" i="17" s="1"/>
  <c r="I28" i="17" s="1"/>
  <c r="AD37" i="1"/>
  <c r="G27" i="17" s="1"/>
  <c r="AD36" i="1"/>
  <c r="G26" i="17" s="1"/>
  <c r="AD35" i="1"/>
  <c r="G25" i="17" s="1"/>
  <c r="AB41" i="1"/>
  <c r="E31" i="17" s="1"/>
  <c r="AB40" i="1"/>
  <c r="E30" i="17" s="1"/>
  <c r="AB39" i="1"/>
  <c r="E29" i="17" s="1"/>
  <c r="AB38" i="1"/>
  <c r="L108" i="7" s="1"/>
  <c r="AB37" i="1"/>
  <c r="L107" i="7" s="1"/>
  <c r="AB36" i="1"/>
  <c r="L106" i="7" s="1"/>
  <c r="AB35" i="1"/>
  <c r="E25" i="17" s="1"/>
  <c r="Z41" i="1"/>
  <c r="C31" i="17" s="1"/>
  <c r="Z40" i="1"/>
  <c r="C30" i="17" s="1"/>
  <c r="Z39" i="1"/>
  <c r="C29" i="17" s="1"/>
  <c r="Z38" i="1"/>
  <c r="L97" i="7" s="1"/>
  <c r="Z37" i="1"/>
  <c r="L96" i="7" s="1"/>
  <c r="Z36" i="1"/>
  <c r="L95" i="7" s="1"/>
  <c r="Z35" i="1"/>
  <c r="C25" i="17" s="1"/>
  <c r="X35" i="1"/>
  <c r="A25" i="17" s="1"/>
  <c r="X37" i="1"/>
  <c r="L87" i="7" s="1"/>
  <c r="X38" i="1"/>
  <c r="L88" i="7" s="1"/>
  <c r="X39" i="1"/>
  <c r="A29" i="17" s="1"/>
  <c r="X40" i="1"/>
  <c r="A30" i="17" s="1"/>
  <c r="X41" i="1"/>
  <c r="A31" i="17" s="1"/>
  <c r="X36" i="1"/>
  <c r="L86" i="7" s="1"/>
  <c r="R111" i="7"/>
  <c r="R110" i="7"/>
  <c r="R109" i="7"/>
  <c r="R108" i="7"/>
  <c r="R107" i="7"/>
  <c r="R106" i="7"/>
  <c r="R91" i="7"/>
  <c r="R90" i="7"/>
  <c r="R89" i="7"/>
  <c r="R88" i="7"/>
  <c r="R87" i="7"/>
  <c r="R86" i="7"/>
  <c r="AN89" i="17" l="1"/>
  <c r="AZ89" i="1"/>
  <c r="BA79" i="1"/>
  <c r="AV79" i="17"/>
  <c r="AZ69" i="1"/>
  <c r="BA69" i="1" s="1"/>
  <c r="BB69" i="1" s="1"/>
  <c r="AZ72" i="1"/>
  <c r="BA72" i="1" s="1"/>
  <c r="AZ85" i="1"/>
  <c r="AV85" i="17" s="1"/>
  <c r="AV78" i="17"/>
  <c r="AN82" i="17"/>
  <c r="AZ82" i="1"/>
  <c r="AN75" i="17"/>
  <c r="AZ75" i="1"/>
  <c r="AN71" i="17"/>
  <c r="AZ71" i="1"/>
  <c r="AN83" i="17"/>
  <c r="AZ83" i="1"/>
  <c r="AN76" i="17"/>
  <c r="AZ76" i="1"/>
  <c r="AN12" i="17"/>
  <c r="AZ12" i="1"/>
  <c r="AN87" i="17"/>
  <c r="AZ87" i="1"/>
  <c r="AN73" i="17"/>
  <c r="AZ73" i="1"/>
  <c r="AN64" i="17"/>
  <c r="AZ64" i="1"/>
  <c r="AN67" i="17"/>
  <c r="AZ67" i="1"/>
  <c r="AN74" i="17"/>
  <c r="AZ74" i="1"/>
  <c r="AN81" i="17"/>
  <c r="AZ81" i="1"/>
  <c r="AN88" i="17"/>
  <c r="AZ88" i="1"/>
  <c r="AN66" i="17"/>
  <c r="AZ66" i="1"/>
  <c r="AZ65" i="1"/>
  <c r="AV65" i="17" s="1"/>
  <c r="AN86" i="17"/>
  <c r="AZ86" i="1"/>
  <c r="AN70" i="17"/>
  <c r="AZ70" i="1"/>
  <c r="AN77" i="17"/>
  <c r="AZ77" i="1"/>
  <c r="AN84" i="17"/>
  <c r="AZ84" i="1"/>
  <c r="AW50" i="17"/>
  <c r="AA66" i="1"/>
  <c r="AF48" i="1"/>
  <c r="AF44" i="1"/>
  <c r="AF47" i="1"/>
  <c r="AF45" i="1"/>
  <c r="AF49" i="1"/>
  <c r="AF46" i="1"/>
  <c r="H56" i="17"/>
  <c r="H55" i="17"/>
  <c r="AY263" i="1"/>
  <c r="AU65" i="17"/>
  <c r="AU263" i="17" s="1"/>
  <c r="B59" i="17"/>
  <c r="A59" i="17"/>
  <c r="F27" i="17"/>
  <c r="E27" i="17"/>
  <c r="B26" i="17"/>
  <c r="A26" i="17"/>
  <c r="B58" i="17"/>
  <c r="A58" i="17"/>
  <c r="F28" i="17"/>
  <c r="E28" i="17"/>
  <c r="B57" i="17"/>
  <c r="A57" i="17"/>
  <c r="E37" i="17"/>
  <c r="F37" i="17"/>
  <c r="A42" i="17"/>
  <c r="B42" i="17"/>
  <c r="F39" i="17"/>
  <c r="E39" i="17"/>
  <c r="B28" i="17"/>
  <c r="A28" i="17"/>
  <c r="F38" i="17"/>
  <c r="E38" i="17"/>
  <c r="C26" i="17"/>
  <c r="D26" i="17"/>
  <c r="A49" i="17"/>
  <c r="B49" i="17"/>
  <c r="C27" i="17"/>
  <c r="D27" i="17"/>
  <c r="C28" i="17"/>
  <c r="D28" i="17"/>
  <c r="B47" i="17"/>
  <c r="A47" i="17"/>
  <c r="A48" i="17"/>
  <c r="B48" i="17"/>
  <c r="B55" i="17"/>
  <c r="A55" i="17"/>
  <c r="E42" i="17"/>
  <c r="F42" i="17"/>
  <c r="B56" i="17"/>
  <c r="A56" i="17"/>
  <c r="E26" i="17"/>
  <c r="F26" i="17"/>
  <c r="B46" i="17"/>
  <c r="A46" i="17"/>
  <c r="A45" i="17"/>
  <c r="B45" i="17"/>
  <c r="A44" i="17"/>
  <c r="B44" i="17"/>
  <c r="B43" i="17"/>
  <c r="A43" i="17"/>
  <c r="B27" i="17"/>
  <c r="A27" i="17"/>
  <c r="AW38" i="17"/>
  <c r="P27" i="1"/>
  <c r="P20" i="1"/>
  <c r="P19" i="1"/>
  <c r="AW48" i="17"/>
  <c r="AW24" i="17"/>
  <c r="AW11" i="1"/>
  <c r="AW259" i="17"/>
  <c r="AV68" i="17"/>
  <c r="BB179" i="1"/>
  <c r="AV179" i="1" s="1"/>
  <c r="AY61" i="1"/>
  <c r="AT61" i="1"/>
  <c r="AZ11" i="1"/>
  <c r="AV11" i="17" s="1"/>
  <c r="N201" i="7"/>
  <c r="N198" i="7"/>
  <c r="V198" i="7" s="1"/>
  <c r="AV48" i="1"/>
  <c r="AR48" i="17" s="1"/>
  <c r="AX48" i="17"/>
  <c r="AW22" i="17"/>
  <c r="AW30" i="17"/>
  <c r="AX24" i="17"/>
  <c r="BB119" i="1"/>
  <c r="AV119" i="1" s="1"/>
  <c r="AR119" i="17" s="1"/>
  <c r="AW227" i="17"/>
  <c r="BB243" i="1"/>
  <c r="AV243" i="1" s="1"/>
  <c r="AV54" i="1"/>
  <c r="AR54" i="17" s="1"/>
  <c r="AW45" i="17"/>
  <c r="AW56" i="17"/>
  <c r="AW58" i="17"/>
  <c r="AW46" i="17"/>
  <c r="AV13" i="17"/>
  <c r="BB18" i="1"/>
  <c r="AX45" i="17"/>
  <c r="AX30" i="17"/>
  <c r="AX56" i="17"/>
  <c r="AX58" i="17"/>
  <c r="AP240" i="17"/>
  <c r="BB197" i="1"/>
  <c r="AV197" i="1" s="1"/>
  <c r="BB117" i="1"/>
  <c r="BB215" i="1"/>
  <c r="AV215" i="1" s="1"/>
  <c r="AR215" i="17" s="1"/>
  <c r="BB137" i="1"/>
  <c r="AV137" i="1" s="1"/>
  <c r="AP225" i="17"/>
  <c r="AP213" i="17"/>
  <c r="AV80" i="17"/>
  <c r="AV69" i="17"/>
  <c r="AP72" i="17"/>
  <c r="AP114" i="17"/>
  <c r="AP179" i="17"/>
  <c r="AP115" i="17"/>
  <c r="AP76" i="17"/>
  <c r="AP252" i="17"/>
  <c r="AP256" i="17"/>
  <c r="AP247" i="17"/>
  <c r="AP167" i="17"/>
  <c r="AP99" i="17"/>
  <c r="AP226" i="17"/>
  <c r="AP194" i="17"/>
  <c r="AP131" i="17"/>
  <c r="AP117" i="17"/>
  <c r="AP155" i="17"/>
  <c r="AP138" i="17"/>
  <c r="AP109" i="17"/>
  <c r="AP95" i="17"/>
  <c r="AP98" i="17"/>
  <c r="AP237" i="17"/>
  <c r="AP146" i="17"/>
  <c r="AP242" i="17"/>
  <c r="AP244" i="17"/>
  <c r="AP261" i="17"/>
  <c r="AP125" i="17"/>
  <c r="AP223" i="17"/>
  <c r="AP239" i="17"/>
  <c r="AP251" i="17"/>
  <c r="AP159" i="17"/>
  <c r="AP193" i="17"/>
  <c r="AP85" i="17"/>
  <c r="AP147" i="17"/>
  <c r="AP130" i="17"/>
  <c r="AP90" i="17"/>
  <c r="AP91" i="17"/>
  <c r="AP245" i="17"/>
  <c r="AP107" i="17"/>
  <c r="AP111" i="17"/>
  <c r="AP202" i="17"/>
  <c r="AP183" i="17"/>
  <c r="AP253" i="17"/>
  <c r="AP175" i="17"/>
  <c r="AP210" i="17"/>
  <c r="AP162" i="17"/>
  <c r="AP74" i="17"/>
  <c r="AP235" i="17"/>
  <c r="AP135" i="17"/>
  <c r="AP178" i="17"/>
  <c r="AP123" i="17"/>
  <c r="AP187" i="17"/>
  <c r="AN60" i="17"/>
  <c r="AN79" i="17"/>
  <c r="AP55" i="17"/>
  <c r="AN55" i="17"/>
  <c r="AP59" i="17"/>
  <c r="AN59" i="17"/>
  <c r="AP209" i="17"/>
  <c r="AV50" i="1"/>
  <c r="AX50" i="17"/>
  <c r="AV22" i="1"/>
  <c r="AR22" i="17" s="1"/>
  <c r="AX22" i="17"/>
  <c r="AV38" i="1"/>
  <c r="AR38" i="17" s="1"/>
  <c r="AX38" i="17"/>
  <c r="AV46" i="1"/>
  <c r="AR46" i="17" s="1"/>
  <c r="AX46" i="17"/>
  <c r="AN78" i="17"/>
  <c r="AP215" i="17"/>
  <c r="AP236" i="17"/>
  <c r="AP234" i="17"/>
  <c r="AP151" i="17"/>
  <c r="AP106" i="17"/>
  <c r="AP217" i="17"/>
  <c r="AP186" i="17"/>
  <c r="AP122" i="17"/>
  <c r="AP51" i="17"/>
  <c r="AP259" i="17"/>
  <c r="AN80" i="17"/>
  <c r="AP154" i="17"/>
  <c r="AN68" i="17"/>
  <c r="AP218" i="17"/>
  <c r="AT263" i="1"/>
  <c r="AN63" i="17"/>
  <c r="AP163" i="17"/>
  <c r="AP139" i="17"/>
  <c r="AP103" i="17"/>
  <c r="AP101" i="17"/>
  <c r="AX102" i="17"/>
  <c r="AU11" i="17"/>
  <c r="AU61" i="17" s="1"/>
  <c r="AA71" i="1"/>
  <c r="D61" i="17" s="1"/>
  <c r="AA69" i="1"/>
  <c r="AA62" i="1"/>
  <c r="AA70" i="1"/>
  <c r="D60" i="17" s="1"/>
  <c r="AA64" i="1"/>
  <c r="AF51" i="1"/>
  <c r="AX244" i="17"/>
  <c r="AX119" i="17"/>
  <c r="AW35" i="17"/>
  <c r="R178" i="7"/>
  <c r="R177" i="7"/>
  <c r="Z53" i="1"/>
  <c r="C43" i="17" s="1"/>
  <c r="Z52" i="1"/>
  <c r="C42" i="17" s="1"/>
  <c r="R223" i="7"/>
  <c r="R224" i="7"/>
  <c r="R225" i="7"/>
  <c r="R226" i="7"/>
  <c r="AX260" i="17"/>
  <c r="AX94" i="17"/>
  <c r="BB168" i="1"/>
  <c r="AV168" i="1" s="1"/>
  <c r="AR168" i="17" s="1"/>
  <c r="BB164" i="1"/>
  <c r="AV164" i="1" s="1"/>
  <c r="AR164" i="17" s="1"/>
  <c r="BB143" i="1"/>
  <c r="AV143" i="1" s="1"/>
  <c r="AR143" i="17" s="1"/>
  <c r="BB238" i="1"/>
  <c r="AV238" i="1" s="1"/>
  <c r="BB210" i="1"/>
  <c r="AV210" i="1" s="1"/>
  <c r="BB167" i="1"/>
  <c r="AV167" i="1" s="1"/>
  <c r="BB160" i="1"/>
  <c r="AV160" i="1" s="1"/>
  <c r="BB130" i="1"/>
  <c r="AV130" i="1" s="1"/>
  <c r="BB257" i="1"/>
  <c r="AV257" i="1" s="1"/>
  <c r="Y10" i="1"/>
  <c r="B22" i="16"/>
  <c r="B3" i="16"/>
  <c r="B37" i="16"/>
  <c r="B14" i="16"/>
  <c r="B43" i="16"/>
  <c r="B27" i="16"/>
  <c r="AW169" i="17"/>
  <c r="BB169" i="1"/>
  <c r="AV169" i="1" s="1"/>
  <c r="AW164" i="17"/>
  <c r="AW257" i="17"/>
  <c r="BB125" i="1"/>
  <c r="AV125" i="1" s="1"/>
  <c r="AR125" i="17" s="1"/>
  <c r="AW255" i="17"/>
  <c r="BB255" i="1"/>
  <c r="AV255" i="1" s="1"/>
  <c r="BB148" i="1"/>
  <c r="AV148" i="1" s="1"/>
  <c r="AR148" i="17" s="1"/>
  <c r="BB138" i="1"/>
  <c r="AV138" i="1" s="1"/>
  <c r="AR138" i="17" s="1"/>
  <c r="BB104" i="1"/>
  <c r="AV104" i="1" s="1"/>
  <c r="AR104" i="17" s="1"/>
  <c r="BB166" i="1"/>
  <c r="AV166" i="1" s="1"/>
  <c r="BB95" i="1"/>
  <c r="AV95" i="1" s="1"/>
  <c r="AR95" i="17" s="1"/>
  <c r="BB127" i="1"/>
  <c r="AV127" i="1" s="1"/>
  <c r="AR127" i="17" s="1"/>
  <c r="BB129" i="1"/>
  <c r="AV129" i="1" s="1"/>
  <c r="AW185" i="17"/>
  <c r="BB185" i="1"/>
  <c r="AV185" i="1" s="1"/>
  <c r="BB254" i="1"/>
  <c r="AV254" i="1" s="1"/>
  <c r="BB209" i="1"/>
  <c r="AV209" i="1" s="1"/>
  <c r="AR209" i="17" s="1"/>
  <c r="BB174" i="1"/>
  <c r="AV174" i="1" s="1"/>
  <c r="AR174" i="17" s="1"/>
  <c r="BB135" i="1"/>
  <c r="AV135" i="1" s="1"/>
  <c r="BB253" i="1"/>
  <c r="AV253" i="1" s="1"/>
  <c r="BB156" i="1"/>
  <c r="AV156" i="1" s="1"/>
  <c r="BB252" i="1"/>
  <c r="AV252" i="1" s="1"/>
  <c r="AR252" i="17" s="1"/>
  <c r="BB152" i="1"/>
  <c r="AV152" i="1" s="1"/>
  <c r="AR152" i="17" s="1"/>
  <c r="BB190" i="1"/>
  <c r="AV190" i="1" s="1"/>
  <c r="AW118" i="17"/>
  <c r="BB118" i="1"/>
  <c r="AV236" i="1"/>
  <c r="AR236" i="17" s="1"/>
  <c r="AV90" i="1"/>
  <c r="AR90" i="17" s="1"/>
  <c r="BB245" i="1"/>
  <c r="AV245" i="1" s="1"/>
  <c r="BB201" i="1"/>
  <c r="AX201" i="17" s="1"/>
  <c r="BB151" i="1"/>
  <c r="AV151" i="1" s="1"/>
  <c r="BB122" i="1"/>
  <c r="AV122" i="1" s="1"/>
  <c r="AR122" i="17" s="1"/>
  <c r="BB182" i="1"/>
  <c r="AV182" i="1" s="1"/>
  <c r="BB68" i="1"/>
  <c r="AV68" i="1" s="1"/>
  <c r="BB261" i="1"/>
  <c r="AV261" i="1" s="1"/>
  <c r="AW220" i="17"/>
  <c r="BB220" i="1"/>
  <c r="AV220" i="1" s="1"/>
  <c r="L79" i="7"/>
  <c r="AH40" i="1" s="1"/>
  <c r="L76" i="7"/>
  <c r="AH37" i="1" s="1"/>
  <c r="AW261" i="17"/>
  <c r="BB246" i="1"/>
  <c r="AV246" i="1" s="1"/>
  <c r="BB237" i="1"/>
  <c r="AV237" i="1" s="1"/>
  <c r="BB225" i="1"/>
  <c r="AV225" i="1" s="1"/>
  <c r="AW242" i="17"/>
  <c r="BB242" i="1"/>
  <c r="AV242" i="1" s="1"/>
  <c r="AW132" i="17"/>
  <c r="BB132" i="1"/>
  <c r="AV132" i="1" s="1"/>
  <c r="BB126" i="1"/>
  <c r="AV126" i="1" s="1"/>
  <c r="AR126" i="17" s="1"/>
  <c r="BB171" i="1"/>
  <c r="AV171" i="1" s="1"/>
  <c r="BB233" i="1"/>
  <c r="AV233" i="1" s="1"/>
  <c r="AW150" i="17"/>
  <c r="BB150" i="1"/>
  <c r="AV150" i="1" s="1"/>
  <c r="AR150" i="17" s="1"/>
  <c r="BB79" i="1"/>
  <c r="AX79" i="17" s="1"/>
  <c r="BB145" i="1"/>
  <c r="BB144" i="1"/>
  <c r="AV144" i="1" s="1"/>
  <c r="AR144" i="17" s="1"/>
  <c r="BB213" i="1"/>
  <c r="AV213" i="1" s="1"/>
  <c r="BB140" i="1"/>
  <c r="AV140" i="1" s="1"/>
  <c r="AR140" i="17" s="1"/>
  <c r="BB158" i="1"/>
  <c r="AV158" i="1" s="1"/>
  <c r="AR158" i="17" s="1"/>
  <c r="BB96" i="1"/>
  <c r="AV96" i="1" s="1"/>
  <c r="BB161" i="1"/>
  <c r="AV161" i="1" s="1"/>
  <c r="AR161" i="17" s="1"/>
  <c r="BB97" i="1"/>
  <c r="AV97" i="1" s="1"/>
  <c r="BB205" i="1"/>
  <c r="AV205" i="1" s="1"/>
  <c r="BB121" i="1"/>
  <c r="AV121" i="1" s="1"/>
  <c r="AR121" i="17" s="1"/>
  <c r="AW249" i="17"/>
  <c r="BB249" i="1"/>
  <c r="AV249" i="1" s="1"/>
  <c r="BB162" i="1"/>
  <c r="AV162" i="1" s="1"/>
  <c r="AW163" i="17"/>
  <c r="BB163" i="1"/>
  <c r="AV163" i="1" s="1"/>
  <c r="BB204" i="1"/>
  <c r="AV204" i="1" s="1"/>
  <c r="AW229" i="17"/>
  <c r="BB229" i="1"/>
  <c r="AV229" i="1" s="1"/>
  <c r="BB128" i="1"/>
  <c r="AX128" i="17" s="1"/>
  <c r="BB258" i="1"/>
  <c r="AV258" i="1" s="1"/>
  <c r="BB78" i="1"/>
  <c r="AV78" i="1" s="1"/>
  <c r="BB106" i="1"/>
  <c r="AV106" i="1" s="1"/>
  <c r="AR106" i="17" s="1"/>
  <c r="BB154" i="1"/>
  <c r="AX154" i="17" s="1"/>
  <c r="AW241" i="17"/>
  <c r="BB241" i="1"/>
  <c r="AV241" i="1" s="1"/>
  <c r="BB172" i="1"/>
  <c r="AX172" i="17" s="1"/>
  <c r="AW131" i="17"/>
  <c r="BB131" i="1"/>
  <c r="AV131" i="1" s="1"/>
  <c r="BB134" i="1"/>
  <c r="AV134" i="1" s="1"/>
  <c r="AW210" i="17"/>
  <c r="AW245" i="17"/>
  <c r="AW106" i="17"/>
  <c r="AW15" i="17"/>
  <c r="AW31" i="17"/>
  <c r="BB180" i="1"/>
  <c r="AV180" i="1" s="1"/>
  <c r="BB181" i="1"/>
  <c r="AX181" i="17" s="1"/>
  <c r="BB188" i="1"/>
  <c r="AV188" i="1" s="1"/>
  <c r="AR188" i="17" s="1"/>
  <c r="BB223" i="1"/>
  <c r="AX223" i="17" s="1"/>
  <c r="BB170" i="1"/>
  <c r="AV170" i="1" s="1"/>
  <c r="AR170" i="17" s="1"/>
  <c r="BB155" i="1"/>
  <c r="AV155" i="1" s="1"/>
  <c r="BB92" i="1"/>
  <c r="AV92" i="1" s="1"/>
  <c r="AR92" i="17" s="1"/>
  <c r="BB226" i="1"/>
  <c r="AV226" i="1" s="1"/>
  <c r="BB100" i="1"/>
  <c r="AV100" i="1" s="1"/>
  <c r="AR100" i="17" s="1"/>
  <c r="BB175" i="1"/>
  <c r="AV175" i="1" s="1"/>
  <c r="AR175" i="17" s="1"/>
  <c r="BB195" i="1"/>
  <c r="AX195" i="17" s="1"/>
  <c r="BB221" i="1"/>
  <c r="AV221" i="1" s="1"/>
  <c r="BB176" i="1"/>
  <c r="AV176" i="1" s="1"/>
  <c r="AR176" i="17" s="1"/>
  <c r="BB239" i="1"/>
  <c r="AV239" i="1" s="1"/>
  <c r="BB142" i="1"/>
  <c r="AV142" i="1" s="1"/>
  <c r="AR142" i="17" s="1"/>
  <c r="BB200" i="1"/>
  <c r="AX200" i="17" s="1"/>
  <c r="BB230" i="1"/>
  <c r="AV230" i="1" s="1"/>
  <c r="BB113" i="1"/>
  <c r="AV113" i="1" s="1"/>
  <c r="BB217" i="1"/>
  <c r="AV217" i="1" s="1"/>
  <c r="AR217" i="17" s="1"/>
  <c r="BB146" i="1"/>
  <c r="AV146" i="1" s="1"/>
  <c r="BB107" i="1"/>
  <c r="AV107" i="1" s="1"/>
  <c r="BB191" i="1"/>
  <c r="AV191" i="1" s="1"/>
  <c r="BB101" i="1"/>
  <c r="AV101" i="1" s="1"/>
  <c r="AR101" i="17" s="1"/>
  <c r="AP160" i="17"/>
  <c r="AP150" i="17"/>
  <c r="AP164" i="17"/>
  <c r="AP176" i="17"/>
  <c r="AP220" i="17"/>
  <c r="AP126" i="17"/>
  <c r="AP227" i="17"/>
  <c r="AP260" i="17"/>
  <c r="AP127" i="17"/>
  <c r="AP171" i="17"/>
  <c r="AP166" i="17"/>
  <c r="AP128" i="17"/>
  <c r="AP140" i="17"/>
  <c r="AW79" i="17"/>
  <c r="AP214" i="17"/>
  <c r="AP216" i="17"/>
  <c r="AP132" i="17"/>
  <c r="AP189" i="17"/>
  <c r="AP134" i="17"/>
  <c r="AP144" i="17"/>
  <c r="AP188" i="17"/>
  <c r="AW144" i="17"/>
  <c r="AP165" i="17"/>
  <c r="AP222" i="17"/>
  <c r="AP118" i="17"/>
  <c r="AP232" i="17"/>
  <c r="AP104" i="17"/>
  <c r="AP116" i="17"/>
  <c r="AP97" i="17"/>
  <c r="AP250" i="17"/>
  <c r="AP203" i="17"/>
  <c r="AP219" i="17"/>
  <c r="AP137" i="17"/>
  <c r="AP73" i="17"/>
  <c r="AP145" i="17"/>
  <c r="AP201" i="17"/>
  <c r="AP119" i="17"/>
  <c r="AP143" i="17"/>
  <c r="AP248" i="17"/>
  <c r="AP157" i="17"/>
  <c r="AP172" i="17"/>
  <c r="AP173" i="17"/>
  <c r="AP120" i="17"/>
  <c r="AP230" i="17"/>
  <c r="AP92" i="17"/>
  <c r="AP241" i="17"/>
  <c r="AP94" i="17"/>
  <c r="AP148" i="17"/>
  <c r="AP211" i="17"/>
  <c r="AP238" i="17"/>
  <c r="AP207" i="17"/>
  <c r="AP153" i="17"/>
  <c r="AP191" i="17"/>
  <c r="AP82" i="17"/>
  <c r="AP221" i="17"/>
  <c r="AP224" i="17"/>
  <c r="AP108" i="17"/>
  <c r="AW126" i="17"/>
  <c r="AP206" i="17"/>
  <c r="AP184" i="17"/>
  <c r="AP228" i="17"/>
  <c r="AP100" i="17"/>
  <c r="AP257" i="17"/>
  <c r="AP182" i="17"/>
  <c r="AP112" i="17"/>
  <c r="AP156" i="17"/>
  <c r="AP229" i="17"/>
  <c r="AP149" i="17"/>
  <c r="AP198" i="17"/>
  <c r="AP110" i="17"/>
  <c r="AP200" i="17"/>
  <c r="AP212" i="17"/>
  <c r="AP84" i="17"/>
  <c r="AP121" i="17"/>
  <c r="AP170" i="17"/>
  <c r="AW190" i="17"/>
  <c r="AP69" i="17"/>
  <c r="AP177" i="17"/>
  <c r="AP246" i="17"/>
  <c r="AP141" i="17"/>
  <c r="AP254" i="17"/>
  <c r="AP129" i="17"/>
  <c r="AP75" i="17"/>
  <c r="AP190" i="17"/>
  <c r="AP181" i="17"/>
  <c r="AP136" i="17"/>
  <c r="AP195" i="17"/>
  <c r="AP89" i="17"/>
  <c r="AP258" i="17"/>
  <c r="AP105" i="17"/>
  <c r="AP255" i="17"/>
  <c r="AP233" i="17"/>
  <c r="AP96" i="17"/>
  <c r="AP205" i="17"/>
  <c r="AP174" i="17"/>
  <c r="AP192" i="17"/>
  <c r="AP204" i="17"/>
  <c r="AP158" i="17"/>
  <c r="AP152" i="17"/>
  <c r="AP196" i="17"/>
  <c r="AW252" i="17"/>
  <c r="AW223" i="17"/>
  <c r="AW174" i="17"/>
  <c r="AW209" i="17"/>
  <c r="AP249" i="17"/>
  <c r="AP208" i="17"/>
  <c r="AP124" i="17"/>
  <c r="AP197" i="17"/>
  <c r="AP133" i="17"/>
  <c r="AP142" i="17"/>
  <c r="AP102" i="17"/>
  <c r="AP168" i="17"/>
  <c r="AP180" i="17"/>
  <c r="AP231" i="17"/>
  <c r="AP113" i="17"/>
  <c r="AP65" i="17"/>
  <c r="AP262" i="17"/>
  <c r="AP161" i="17"/>
  <c r="AP169" i="17"/>
  <c r="AP243" i="17"/>
  <c r="AP185" i="17"/>
  <c r="AP199" i="17"/>
  <c r="AP93" i="17"/>
  <c r="AP70" i="17"/>
  <c r="AP32" i="17"/>
  <c r="AP39" i="17"/>
  <c r="AP60" i="17"/>
  <c r="AP20" i="17"/>
  <c r="AP56" i="17"/>
  <c r="AP53" i="17"/>
  <c r="AP47" i="17"/>
  <c r="AP33" i="17"/>
  <c r="AP31" i="17"/>
  <c r="AP44" i="17"/>
  <c r="AP21" i="17"/>
  <c r="AP42" i="17"/>
  <c r="AP19" i="17"/>
  <c r="AP45" i="17"/>
  <c r="AP49" i="17"/>
  <c r="AW49" i="17"/>
  <c r="AP52" i="17"/>
  <c r="AP16" i="17"/>
  <c r="AP25" i="17"/>
  <c r="AW36" i="17"/>
  <c r="AP48" i="17"/>
  <c r="AP14" i="17"/>
  <c r="AP23" i="17"/>
  <c r="AP36" i="17"/>
  <c r="AP46" i="17"/>
  <c r="AW26" i="17"/>
  <c r="AP34" i="17"/>
  <c r="AP43" i="17"/>
  <c r="AP41" i="17"/>
  <c r="AP30" i="17"/>
  <c r="AP29" i="17"/>
  <c r="AP18" i="17"/>
  <c r="AP27" i="17"/>
  <c r="AP57" i="17"/>
  <c r="AP24" i="17"/>
  <c r="AP22" i="17"/>
  <c r="AP58" i="17"/>
  <c r="AP40" i="17"/>
  <c r="AP54" i="17"/>
  <c r="AP17" i="17"/>
  <c r="AP38" i="17"/>
  <c r="AP50" i="17"/>
  <c r="AP15" i="17"/>
  <c r="AP28" i="17"/>
  <c r="AP37" i="17"/>
  <c r="AW21" i="17"/>
  <c r="AP26" i="17"/>
  <c r="AP35" i="17"/>
  <c r="N69" i="6"/>
  <c r="W69" i="6" s="1"/>
  <c r="AI82" i="1" s="1"/>
  <c r="C20" i="16"/>
  <c r="C21" i="16"/>
  <c r="C23" i="16" s="1"/>
  <c r="D17" i="16" s="1"/>
  <c r="N70" i="6"/>
  <c r="W70" i="6" s="1"/>
  <c r="AI83" i="1" s="1"/>
  <c r="N68" i="6"/>
  <c r="W68" i="6" s="1"/>
  <c r="AI81" i="1" s="1"/>
  <c r="Y79" i="1"/>
  <c r="AW258" i="1"/>
  <c r="AS258" i="17" s="1"/>
  <c r="AW77" i="1"/>
  <c r="AW88" i="1"/>
  <c r="AS88" i="17" s="1"/>
  <c r="AW67" i="1"/>
  <c r="AS67" i="17" s="1"/>
  <c r="AW227" i="1"/>
  <c r="AS227" i="17" s="1"/>
  <c r="AW256" i="1"/>
  <c r="AX256" i="1" s="1"/>
  <c r="AW207" i="1"/>
  <c r="AS207" i="17" s="1"/>
  <c r="AW164" i="1"/>
  <c r="AS164" i="17" s="1"/>
  <c r="AW191" i="1"/>
  <c r="AS191" i="17" s="1"/>
  <c r="AW110" i="1"/>
  <c r="AS110" i="17" s="1"/>
  <c r="AW90" i="1"/>
  <c r="AS90" i="17" s="1"/>
  <c r="AW176" i="1"/>
  <c r="AS176" i="17" s="1"/>
  <c r="AW223" i="1"/>
  <c r="AS223" i="17" s="1"/>
  <c r="AW196" i="1"/>
  <c r="AX196" i="1" s="1"/>
  <c r="AW123" i="1"/>
  <c r="AX123" i="1" s="1"/>
  <c r="AW130" i="1"/>
  <c r="AS130" i="17" s="1"/>
  <c r="AW144" i="1"/>
  <c r="AS144" i="17" s="1"/>
  <c r="AW104" i="1"/>
  <c r="AS104" i="17" s="1"/>
  <c r="AW241" i="1"/>
  <c r="AS241" i="17" s="1"/>
  <c r="AW230" i="1"/>
  <c r="AS230" i="17" s="1"/>
  <c r="AW186" i="1"/>
  <c r="AS186" i="17" s="1"/>
  <c r="AW72" i="1"/>
  <c r="AS72" i="17" s="1"/>
  <c r="AW261" i="1"/>
  <c r="AW237" i="1"/>
  <c r="AS237" i="17" s="1"/>
  <c r="AW200" i="1"/>
  <c r="AS200" i="17" s="1"/>
  <c r="AW244" i="1"/>
  <c r="AS244" i="17" s="1"/>
  <c r="AW210" i="1"/>
  <c r="AW181" i="1"/>
  <c r="AS181" i="17" s="1"/>
  <c r="AW137" i="1"/>
  <c r="AS137" i="17" s="1"/>
  <c r="AW136" i="1"/>
  <c r="AS136" i="17" s="1"/>
  <c r="AW172" i="1"/>
  <c r="AS172" i="17" s="1"/>
  <c r="AW174" i="1"/>
  <c r="AS174" i="17" s="1"/>
  <c r="AW198" i="1"/>
  <c r="AS198" i="17" s="1"/>
  <c r="AW85" i="1"/>
  <c r="AW226" i="1"/>
  <c r="AS226" i="17" s="1"/>
  <c r="AW84" i="1"/>
  <c r="AW217" i="1"/>
  <c r="AS217" i="17" s="1"/>
  <c r="AW243" i="1"/>
  <c r="AW251" i="1"/>
  <c r="AS251" i="17" s="1"/>
  <c r="AW225" i="1"/>
  <c r="AS225" i="17" s="1"/>
  <c r="AW209" i="1"/>
  <c r="AS209" i="17" s="1"/>
  <c r="AW155" i="1"/>
  <c r="AS155" i="17" s="1"/>
  <c r="AW234" i="1"/>
  <c r="AX234" i="1" s="1"/>
  <c r="AW99" i="1"/>
  <c r="AS99" i="17" s="1"/>
  <c r="AW87" i="1"/>
  <c r="AS87" i="17" s="1"/>
  <c r="AW103" i="1"/>
  <c r="AS103" i="17" s="1"/>
  <c r="AW194" i="1"/>
  <c r="AS194" i="17" s="1"/>
  <c r="AW156" i="1"/>
  <c r="AS156" i="17" s="1"/>
  <c r="AW138" i="1"/>
  <c r="AS138" i="17" s="1"/>
  <c r="AW183" i="1"/>
  <c r="AS183" i="17" s="1"/>
  <c r="AW184" i="1"/>
  <c r="AX184" i="1" s="1"/>
  <c r="AW248" i="1"/>
  <c r="AX248" i="1" s="1"/>
  <c r="AW66" i="1"/>
  <c r="AW157" i="1"/>
  <c r="AS157" i="17" s="1"/>
  <c r="AW167" i="1"/>
  <c r="AS167" i="17" s="1"/>
  <c r="AW242" i="1"/>
  <c r="AS242" i="17" s="1"/>
  <c r="AW121" i="1"/>
  <c r="AW254" i="1"/>
  <c r="AS254" i="17" s="1"/>
  <c r="AW91" i="1"/>
  <c r="AS91" i="17" s="1"/>
  <c r="AW153" i="1"/>
  <c r="AS153" i="17" s="1"/>
  <c r="AW168" i="1"/>
  <c r="AS168" i="17" s="1"/>
  <c r="AW95" i="1"/>
  <c r="AS95" i="17" s="1"/>
  <c r="AW76" i="1"/>
  <c r="AW170" i="1"/>
  <c r="AS170" i="17" s="1"/>
  <c r="AW92" i="1"/>
  <c r="AS92" i="17" s="1"/>
  <c r="AW250" i="1"/>
  <c r="AX250" i="1" s="1"/>
  <c r="AW166" i="1"/>
  <c r="AS166" i="17" s="1"/>
  <c r="AW109" i="1"/>
  <c r="AX109" i="1" s="1"/>
  <c r="AW185" i="1"/>
  <c r="AS185" i="17" s="1"/>
  <c r="AW139" i="1"/>
  <c r="AS139" i="17" s="1"/>
  <c r="AW208" i="1"/>
  <c r="AX208" i="1" s="1"/>
  <c r="AW171" i="1"/>
  <c r="AS171" i="17" s="1"/>
  <c r="AW82" i="1"/>
  <c r="AS82" i="17" s="1"/>
  <c r="AW71" i="1"/>
  <c r="AW233" i="1"/>
  <c r="AS233" i="17" s="1"/>
  <c r="AW149" i="1"/>
  <c r="AS149" i="17" s="1"/>
  <c r="AW81" i="1"/>
  <c r="AW238" i="1"/>
  <c r="AS238" i="17" s="1"/>
  <c r="AW107" i="1"/>
  <c r="AS107" i="17" s="1"/>
  <c r="AW111" i="1"/>
  <c r="AS111" i="17" s="1"/>
  <c r="AW192" i="1"/>
  <c r="AS192" i="17" s="1"/>
  <c r="AW236" i="1"/>
  <c r="AW147" i="1"/>
  <c r="AS147" i="17" s="1"/>
  <c r="AW94" i="1"/>
  <c r="AX94" i="1" s="1"/>
  <c r="AW206" i="1"/>
  <c r="AX206" i="1" s="1"/>
  <c r="AW257" i="1"/>
  <c r="AS257" i="17" s="1"/>
  <c r="AW78" i="1"/>
  <c r="AS78" i="17" s="1"/>
  <c r="AW235" i="1"/>
  <c r="AS235" i="17" s="1"/>
  <c r="AW215" i="1"/>
  <c r="AS215" i="17" s="1"/>
  <c r="AW190" i="1"/>
  <c r="AS190" i="17" s="1"/>
  <c r="AW162" i="1"/>
  <c r="AS162" i="17" s="1"/>
  <c r="AW178" i="1"/>
  <c r="AS178" i="17" s="1"/>
  <c r="AW118" i="1"/>
  <c r="AS118" i="17" s="1"/>
  <c r="AW160" i="1"/>
  <c r="AS160" i="17" s="1"/>
  <c r="AW128" i="1"/>
  <c r="AS128" i="17" s="1"/>
  <c r="AW101" i="1"/>
  <c r="AS101" i="17" s="1"/>
  <c r="AW262" i="1"/>
  <c r="AX262" i="1" s="1"/>
  <c r="AW154" i="1"/>
  <c r="AS154" i="17" s="1"/>
  <c r="AW140" i="1"/>
  <c r="AS140" i="17" s="1"/>
  <c r="AW202" i="1"/>
  <c r="AX202" i="1" s="1"/>
  <c r="AW158" i="1"/>
  <c r="AS158" i="17" s="1"/>
  <c r="AW218" i="1"/>
  <c r="AX218" i="1" s="1"/>
  <c r="AW150" i="1"/>
  <c r="AS150" i="17" s="1"/>
  <c r="AW73" i="1"/>
  <c r="AW145" i="1"/>
  <c r="AS145" i="17" s="1"/>
  <c r="AW148" i="1"/>
  <c r="AS148" i="17" s="1"/>
  <c r="AW79" i="1"/>
  <c r="AS79" i="17" s="1"/>
  <c r="AW180" i="1"/>
  <c r="AS180" i="17" s="1"/>
  <c r="AW116" i="1"/>
  <c r="AX116" i="1" s="1"/>
  <c r="AW240" i="1"/>
  <c r="AS240" i="17" s="1"/>
  <c r="AW232" i="1"/>
  <c r="AS232" i="17" s="1"/>
  <c r="AW177" i="1"/>
  <c r="AX177" i="1" s="1"/>
  <c r="AW197" i="1"/>
  <c r="AS197" i="17" s="1"/>
  <c r="AW220" i="1"/>
  <c r="AS220" i="17" s="1"/>
  <c r="AW201" i="1"/>
  <c r="AS201" i="17" s="1"/>
  <c r="AW97" i="1"/>
  <c r="AS97" i="17" s="1"/>
  <c r="AW204" i="1"/>
  <c r="AS204" i="17" s="1"/>
  <c r="AW205" i="1"/>
  <c r="AS205" i="17" s="1"/>
  <c r="AW151" i="1"/>
  <c r="AS151" i="17" s="1"/>
  <c r="AW211" i="1"/>
  <c r="AS211" i="17" s="1"/>
  <c r="AW141" i="1"/>
  <c r="AX141" i="1" s="1"/>
  <c r="AW120" i="1"/>
  <c r="AX120" i="1" s="1"/>
  <c r="AW65" i="1"/>
  <c r="AS65" i="17" s="1"/>
  <c r="AW228" i="1"/>
  <c r="AX228" i="1" s="1"/>
  <c r="AW163" i="1"/>
  <c r="AS163" i="17" s="1"/>
  <c r="AW222" i="1"/>
  <c r="AX222" i="1" s="1"/>
  <c r="AW64" i="1"/>
  <c r="AW195" i="1"/>
  <c r="AS195" i="17" s="1"/>
  <c r="AW239" i="1"/>
  <c r="AS239" i="17" s="1"/>
  <c r="AW106" i="1"/>
  <c r="AS106" i="17" s="1"/>
  <c r="AW98" i="1"/>
  <c r="AS98" i="17" s="1"/>
  <c r="AW146" i="1"/>
  <c r="AW169" i="1"/>
  <c r="AW152" i="1"/>
  <c r="AS152" i="17" s="1"/>
  <c r="AW117" i="1"/>
  <c r="AS117" i="17" s="1"/>
  <c r="AW199" i="1"/>
  <c r="AX199" i="1" s="1"/>
  <c r="AW229" i="1"/>
  <c r="AS229" i="17" s="1"/>
  <c r="AW114" i="1"/>
  <c r="AS114" i="17" s="1"/>
  <c r="AW213" i="1"/>
  <c r="AS213" i="17" s="1"/>
  <c r="AW134" i="1"/>
  <c r="AS134" i="17" s="1"/>
  <c r="AW126" i="1"/>
  <c r="AS126" i="17" s="1"/>
  <c r="AW247" i="1"/>
  <c r="AS247" i="17" s="1"/>
  <c r="AW129" i="1"/>
  <c r="AS129" i="17" s="1"/>
  <c r="AW132" i="1"/>
  <c r="AS132" i="17" s="1"/>
  <c r="AW214" i="1"/>
  <c r="AX214" i="1" s="1"/>
  <c r="AW193" i="1"/>
  <c r="AX193" i="1" s="1"/>
  <c r="AW115" i="1"/>
  <c r="AS115" i="17" s="1"/>
  <c r="AW70" i="1"/>
  <c r="AS70" i="17" s="1"/>
  <c r="AW253" i="1"/>
  <c r="AS253" i="17" s="1"/>
  <c r="AW189" i="1"/>
  <c r="AS189" i="17" s="1"/>
  <c r="AW252" i="1"/>
  <c r="AS252" i="17" s="1"/>
  <c r="AW175" i="1"/>
  <c r="AS175" i="17" s="1"/>
  <c r="AW102" i="1"/>
  <c r="AS102" i="17" s="1"/>
  <c r="AW260" i="1"/>
  <c r="AX260" i="1" s="1"/>
  <c r="AW159" i="1"/>
  <c r="AS159" i="17" s="1"/>
  <c r="AW135" i="1"/>
  <c r="AS135" i="17" s="1"/>
  <c r="AW255" i="1"/>
  <c r="AS255" i="17" s="1"/>
  <c r="AW188" i="1"/>
  <c r="AS188" i="17" s="1"/>
  <c r="AW75" i="1"/>
  <c r="AW131" i="1"/>
  <c r="AS131" i="17" s="1"/>
  <c r="AW173" i="1"/>
  <c r="AX173" i="1" s="1"/>
  <c r="AW96" i="1"/>
  <c r="AS96" i="17" s="1"/>
  <c r="AW112" i="1"/>
  <c r="AW63" i="1"/>
  <c r="AW127" i="1"/>
  <c r="AS127" i="17" s="1"/>
  <c r="AW259" i="1"/>
  <c r="AX259" i="1" s="1"/>
  <c r="AW216" i="1"/>
  <c r="AX216" i="1" s="1"/>
  <c r="AW246" i="1"/>
  <c r="AS246" i="17" s="1"/>
  <c r="AW68" i="1"/>
  <c r="AW122" i="1"/>
  <c r="AS122" i="17" s="1"/>
  <c r="AW80" i="1"/>
  <c r="AS80" i="17" s="1"/>
  <c r="AW182" i="1"/>
  <c r="AS182" i="17" s="1"/>
  <c r="AW100" i="1"/>
  <c r="AS100" i="17" s="1"/>
  <c r="AW69" i="1"/>
  <c r="AS69" i="17" s="1"/>
  <c r="AW245" i="1"/>
  <c r="AS245" i="17" s="1"/>
  <c r="AW142" i="1"/>
  <c r="AW125" i="1"/>
  <c r="AS125" i="17" s="1"/>
  <c r="AW221" i="1"/>
  <c r="AS221" i="17" s="1"/>
  <c r="AW119" i="1"/>
  <c r="AS119" i="17" s="1"/>
  <c r="AW74" i="1"/>
  <c r="AW224" i="1"/>
  <c r="AW203" i="1"/>
  <c r="AW161" i="1"/>
  <c r="AS161" i="17" s="1"/>
  <c r="AW83" i="1"/>
  <c r="AS83" i="17" s="1"/>
  <c r="AW212" i="1"/>
  <c r="AX212" i="1" s="1"/>
  <c r="AW124" i="1"/>
  <c r="AX124" i="1" s="1"/>
  <c r="AW249" i="1"/>
  <c r="AS249" i="17" s="1"/>
  <c r="AW231" i="1"/>
  <c r="AW93" i="1"/>
  <c r="AW108" i="1"/>
  <c r="AS108" i="17" s="1"/>
  <c r="AW143" i="1"/>
  <c r="AS143" i="17" s="1"/>
  <c r="AW179" i="1"/>
  <c r="AS179" i="17" s="1"/>
  <c r="AW113" i="1"/>
  <c r="AS113" i="17" s="1"/>
  <c r="AW165" i="1"/>
  <c r="AW133" i="1"/>
  <c r="AX133" i="1" s="1"/>
  <c r="AW187" i="1"/>
  <c r="AX187" i="1" s="1"/>
  <c r="AW105" i="1"/>
  <c r="AS105" i="17" s="1"/>
  <c r="AW89" i="1"/>
  <c r="AS89" i="17" s="1"/>
  <c r="AW86" i="1"/>
  <c r="AW219" i="1"/>
  <c r="AW127" i="17"/>
  <c r="AW121" i="17"/>
  <c r="AW200" i="17"/>
  <c r="AV63" i="17"/>
  <c r="AX15" i="17"/>
  <c r="AX51" i="17"/>
  <c r="AW233" i="17"/>
  <c r="AW158" i="17"/>
  <c r="AW23" i="17"/>
  <c r="AX19" i="17"/>
  <c r="AW146" i="17"/>
  <c r="AW170" i="17"/>
  <c r="AW32" i="17"/>
  <c r="AW101" i="17"/>
  <c r="AW239" i="17"/>
  <c r="AW188" i="17"/>
  <c r="AW39" i="17"/>
  <c r="AW40" i="17"/>
  <c r="AW155" i="17"/>
  <c r="AW98" i="17"/>
  <c r="AW182" i="17"/>
  <c r="AW110" i="17"/>
  <c r="AW114" i="17"/>
  <c r="AX40" i="17"/>
  <c r="AW168" i="17"/>
  <c r="AW191" i="17"/>
  <c r="AW51" i="17"/>
  <c r="AV98" i="1"/>
  <c r="AX98" i="17"/>
  <c r="AV23" i="1"/>
  <c r="AX23" i="17"/>
  <c r="AV20" i="1"/>
  <c r="AX20" i="17"/>
  <c r="AX60" i="17"/>
  <c r="AW161" i="17"/>
  <c r="AW181" i="17"/>
  <c r="AW162" i="17"/>
  <c r="AX21" i="17"/>
  <c r="AW43" i="17"/>
  <c r="AW122" i="17"/>
  <c r="AW95" i="17"/>
  <c r="AW99" i="17"/>
  <c r="AW92" i="17"/>
  <c r="AW53" i="17"/>
  <c r="AV110" i="1"/>
  <c r="AR110" i="17" s="1"/>
  <c r="AX110" i="17"/>
  <c r="AX36" i="17"/>
  <c r="AX27" i="17"/>
  <c r="AX39" i="17"/>
  <c r="BB55" i="1"/>
  <c r="AW55" i="17"/>
  <c r="AW37" i="17"/>
  <c r="BB37" i="1"/>
  <c r="AW159" i="17"/>
  <c r="AV159" i="1"/>
  <c r="AW17" i="17"/>
  <c r="AV26" i="1"/>
  <c r="AX26" i="17"/>
  <c r="AW91" i="17"/>
  <c r="AV91" i="1"/>
  <c r="AV114" i="1"/>
  <c r="AX114" i="17"/>
  <c r="AV32" i="1"/>
  <c r="AX32" i="17"/>
  <c r="AV99" i="1"/>
  <c r="AX99" i="17"/>
  <c r="AX17" i="17"/>
  <c r="AW130" i="17"/>
  <c r="AW103" i="17"/>
  <c r="AV103" i="1"/>
  <c r="AR103" i="17" s="1"/>
  <c r="AV139" i="1"/>
  <c r="AW139" i="17"/>
  <c r="AV31" i="1"/>
  <c r="AR31" i="17" s="1"/>
  <c r="AX31" i="17"/>
  <c r="AW80" i="17"/>
  <c r="AV80" i="1"/>
  <c r="AV194" i="1"/>
  <c r="AW194" i="17"/>
  <c r="AW207" i="17"/>
  <c r="AV207" i="1"/>
  <c r="AW147" i="17"/>
  <c r="AV147" i="1"/>
  <c r="AW253" i="17"/>
  <c r="AW171" i="17"/>
  <c r="AV53" i="1"/>
  <c r="AX53" i="17"/>
  <c r="AV35" i="1"/>
  <c r="AX35" i="17"/>
  <c r="AW136" i="17"/>
  <c r="AV136" i="1"/>
  <c r="AR136" i="17" s="1"/>
  <c r="AV43" i="1"/>
  <c r="AR43" i="17" s="1"/>
  <c r="AX43" i="17"/>
  <c r="BB47" i="1"/>
  <c r="AO264" i="17"/>
  <c r="AR94" i="17"/>
  <c r="AR58" i="17"/>
  <c r="AR56" i="17"/>
  <c r="AR17" i="17"/>
  <c r="AR45" i="17"/>
  <c r="AW78" i="17"/>
  <c r="AX247" i="17"/>
  <c r="AX218" i="17"/>
  <c r="AX186" i="17"/>
  <c r="AR108" i="17"/>
  <c r="AX208" i="17"/>
  <c r="AR141" i="17"/>
  <c r="AX222" i="17"/>
  <c r="AX112" i="17"/>
  <c r="AX153" i="17"/>
  <c r="AX80" i="17"/>
  <c r="AR192" i="17"/>
  <c r="AR93" i="17"/>
  <c r="AR244" i="17"/>
  <c r="AW20" i="17"/>
  <c r="AW28" i="17"/>
  <c r="AW250" i="17"/>
  <c r="AX111" i="17"/>
  <c r="AW186" i="17"/>
  <c r="AW221" i="17"/>
  <c r="AW213" i="17"/>
  <c r="AW205" i="17"/>
  <c r="AW189" i="17"/>
  <c r="AX248" i="17"/>
  <c r="AX224" i="17"/>
  <c r="AW111" i="17"/>
  <c r="AW166" i="17"/>
  <c r="AW124" i="17"/>
  <c r="AW33" i="17"/>
  <c r="AX240" i="17"/>
  <c r="AX228" i="17"/>
  <c r="AW151" i="17"/>
  <c r="AW115" i="17"/>
  <c r="AX184" i="17"/>
  <c r="AW68" i="17"/>
  <c r="AW14" i="17"/>
  <c r="AX212" i="17"/>
  <c r="AX183" i="17"/>
  <c r="AX235" i="17"/>
  <c r="AR157" i="17"/>
  <c r="AX214" i="17"/>
  <c r="AX231" i="17"/>
  <c r="AX259" i="17"/>
  <c r="AR248" i="17"/>
  <c r="AR184" i="17"/>
  <c r="AR109" i="17"/>
  <c r="AR105" i="17"/>
  <c r="AR232" i="17"/>
  <c r="AR224" i="17"/>
  <c r="AX44" i="17"/>
  <c r="AW44" i="17"/>
  <c r="AX93" i="17"/>
  <c r="AX207" i="17"/>
  <c r="AW113" i="17"/>
  <c r="AX157" i="17"/>
  <c r="AW135" i="17"/>
  <c r="AW107" i="17"/>
  <c r="AW246" i="17"/>
  <c r="AW160" i="17"/>
  <c r="AW27" i="17"/>
  <c r="AW42" i="17"/>
  <c r="AW13" i="17"/>
  <c r="AX262" i="17"/>
  <c r="AX234" i="17"/>
  <c r="AX202" i="17"/>
  <c r="AX198" i="17"/>
  <c r="AR173" i="17"/>
  <c r="AX193" i="17"/>
  <c r="AR228" i="17"/>
  <c r="AR260" i="17"/>
  <c r="AX203" i="17"/>
  <c r="AW97" i="17"/>
  <c r="AW193" i="17"/>
  <c r="AW149" i="17"/>
  <c r="AW60" i="17"/>
  <c r="AX192" i="17"/>
  <c r="AW156" i="17"/>
  <c r="AW134" i="17"/>
  <c r="AX120" i="17"/>
  <c r="AW59" i="17"/>
  <c r="AW19" i="17"/>
  <c r="AX173" i="17"/>
  <c r="AX141" i="17"/>
  <c r="AX109" i="17"/>
  <c r="AX108" i="17"/>
  <c r="AX227" i="17"/>
  <c r="AX199" i="17"/>
  <c r="AR120" i="17"/>
  <c r="AR111" i="17"/>
  <c r="AX251" i="17"/>
  <c r="AX216" i="17"/>
  <c r="AX187" i="17"/>
  <c r="AX123" i="17"/>
  <c r="AX178" i="17"/>
  <c r="AX189" i="17"/>
  <c r="AR256" i="17"/>
  <c r="AR240" i="17"/>
  <c r="AR203" i="17"/>
  <c r="AW16" i="17"/>
  <c r="AR39" i="17"/>
  <c r="AR30" i="17"/>
  <c r="AX124" i="17"/>
  <c r="AW254" i="17"/>
  <c r="AX211" i="17"/>
  <c r="AX219" i="17"/>
  <c r="AW206" i="17"/>
  <c r="AW167" i="17"/>
  <c r="AW29" i="17"/>
  <c r="AX105" i="17"/>
  <c r="AW180" i="17"/>
  <c r="AW152" i="17"/>
  <c r="AW116" i="17"/>
  <c r="AX232" i="17"/>
  <c r="AX196" i="17"/>
  <c r="AW165" i="17"/>
  <c r="AW133" i="17"/>
  <c r="AX256" i="17"/>
  <c r="AW145" i="17"/>
  <c r="AW129" i="17"/>
  <c r="AW177" i="17"/>
  <c r="AR40" i="17"/>
  <c r="AW25" i="17"/>
  <c r="AX54" i="17"/>
  <c r="AW57" i="17"/>
  <c r="AR24" i="17"/>
  <c r="AR15" i="17"/>
  <c r="AW41" i="17"/>
  <c r="AR60" i="17"/>
  <c r="AX34" i="17"/>
  <c r="AR34" i="17"/>
  <c r="AR50" i="17"/>
  <c r="AW52" i="17"/>
  <c r="AP71" i="17"/>
  <c r="AR102" i="17"/>
  <c r="AR196" i="17"/>
  <c r="L75" i="7"/>
  <c r="AH36" i="1" s="1"/>
  <c r="L80" i="7"/>
  <c r="AH41" i="1" s="1"/>
  <c r="L94" i="7"/>
  <c r="L99" i="7"/>
  <c r="L111" i="7"/>
  <c r="L78" i="7"/>
  <c r="AH39" i="1" s="1"/>
  <c r="L98" i="7"/>
  <c r="L81" i="7"/>
  <c r="AH42" i="1" s="1"/>
  <c r="L110" i="7"/>
  <c r="L89" i="7"/>
  <c r="L91" i="7"/>
  <c r="L100" i="7"/>
  <c r="L90" i="7"/>
  <c r="L85" i="7"/>
  <c r="L105" i="7"/>
  <c r="L109" i="7"/>
  <c r="N77" i="7"/>
  <c r="N100" i="7"/>
  <c r="N88" i="7"/>
  <c r="V88" i="7" s="1"/>
  <c r="N106" i="7"/>
  <c r="V106" i="7" s="1"/>
  <c r="N91" i="7"/>
  <c r="V91" i="7" s="1"/>
  <c r="N111" i="7"/>
  <c r="V111" i="7" s="1"/>
  <c r="N80" i="7"/>
  <c r="N89" i="7"/>
  <c r="V89" i="7" s="1"/>
  <c r="N96" i="7"/>
  <c r="N109" i="7"/>
  <c r="V109" i="7" s="1"/>
  <c r="N86" i="7"/>
  <c r="V86" i="7" s="1"/>
  <c r="N97" i="7"/>
  <c r="N110" i="7"/>
  <c r="V110" i="7" s="1"/>
  <c r="N79" i="7"/>
  <c r="N87" i="7"/>
  <c r="V87" i="7" s="1"/>
  <c r="N98" i="7"/>
  <c r="N107" i="7"/>
  <c r="V107" i="7" s="1"/>
  <c r="N90" i="7"/>
  <c r="V90" i="7" s="1"/>
  <c r="N95" i="7"/>
  <c r="N99" i="7"/>
  <c r="N108" i="7"/>
  <c r="V108" i="7" s="1"/>
  <c r="N81" i="7"/>
  <c r="L77" i="7"/>
  <c r="AH38" i="1" s="1"/>
  <c r="Z34" i="1"/>
  <c r="AX143" i="17" l="1"/>
  <c r="AX142" i="17"/>
  <c r="BA89" i="1"/>
  <c r="AV89" i="17"/>
  <c r="AX197" i="17"/>
  <c r="AX237" i="17"/>
  <c r="AX258" i="17"/>
  <c r="AP88" i="17"/>
  <c r="BA65" i="1"/>
  <c r="AP64" i="17"/>
  <c r="AP87" i="17"/>
  <c r="AP66" i="17"/>
  <c r="AV72" i="17"/>
  <c r="BA85" i="1"/>
  <c r="AW85" i="17" s="1"/>
  <c r="BA77" i="1"/>
  <c r="AV77" i="17"/>
  <c r="BA86" i="1"/>
  <c r="AV86" i="17"/>
  <c r="BA66" i="1"/>
  <c r="AV66" i="17"/>
  <c r="BA81" i="1"/>
  <c r="AV81" i="17"/>
  <c r="BA67" i="1"/>
  <c r="AV67" i="17"/>
  <c r="BA73" i="1"/>
  <c r="AV73" i="17"/>
  <c r="BA12" i="1"/>
  <c r="BB12" i="1" s="1"/>
  <c r="AV12" i="1" s="1"/>
  <c r="AV12" i="17"/>
  <c r="BA83" i="1"/>
  <c r="AV83" i="17"/>
  <c r="AX127" i="17"/>
  <c r="AV145" i="1"/>
  <c r="N59" i="7"/>
  <c r="AP81" i="17"/>
  <c r="BA84" i="1"/>
  <c r="AV84" i="17"/>
  <c r="BA70" i="1"/>
  <c r="AV70" i="17"/>
  <c r="BA88" i="1"/>
  <c r="AV88" i="17"/>
  <c r="BA74" i="1"/>
  <c r="AV74" i="17"/>
  <c r="BA64" i="1"/>
  <c r="AV64" i="17"/>
  <c r="BA87" i="1"/>
  <c r="AV87" i="17"/>
  <c r="BA76" i="1"/>
  <c r="AV76" i="17"/>
  <c r="BA71" i="1"/>
  <c r="AV71" i="17"/>
  <c r="BA82" i="1"/>
  <c r="AV82" i="17"/>
  <c r="BA75" i="1"/>
  <c r="AV75" i="17"/>
  <c r="AZ263" i="1"/>
  <c r="AX158" i="17"/>
  <c r="AX204" i="17"/>
  <c r="AX162" i="17"/>
  <c r="AX171" i="17"/>
  <c r="AX179" i="17"/>
  <c r="AP12" i="17"/>
  <c r="AP86" i="17"/>
  <c r="AP67" i="17"/>
  <c r="AP83" i="17"/>
  <c r="AP77" i="17"/>
  <c r="AX215" i="17"/>
  <c r="AX243" i="1"/>
  <c r="AX243" i="17"/>
  <c r="AF54" i="1"/>
  <c r="AF58" i="1"/>
  <c r="AF60" i="1"/>
  <c r="AF57" i="1"/>
  <c r="AF55" i="1"/>
  <c r="AF59" i="1"/>
  <c r="AF56" i="1"/>
  <c r="AF53" i="1"/>
  <c r="AF52" i="1"/>
  <c r="R242" i="7"/>
  <c r="D52" i="17"/>
  <c r="D56" i="17"/>
  <c r="D57" i="17"/>
  <c r="D58" i="17"/>
  <c r="D59" i="17"/>
  <c r="AY264" i="1"/>
  <c r="AV61" i="17"/>
  <c r="AT264" i="1"/>
  <c r="BA11" i="1"/>
  <c r="BB11" i="1" s="1"/>
  <c r="AV11" i="1" s="1"/>
  <c r="AZ61" i="1"/>
  <c r="AS120" i="17"/>
  <c r="AS81" i="17"/>
  <c r="AX100" i="17"/>
  <c r="AX190" i="17"/>
  <c r="AX176" i="17"/>
  <c r="AV18" i="1"/>
  <c r="AR18" i="17" s="1"/>
  <c r="AX18" i="17"/>
  <c r="AX137" i="17"/>
  <c r="AX121" i="17"/>
  <c r="BB85" i="1"/>
  <c r="AV117" i="1"/>
  <c r="AR117" i="17" s="1"/>
  <c r="AX117" i="17"/>
  <c r="AX261" i="17"/>
  <c r="AP68" i="17"/>
  <c r="AP78" i="17"/>
  <c r="AP79" i="17"/>
  <c r="AP80" i="17"/>
  <c r="AP13" i="17"/>
  <c r="AN13" i="17"/>
  <c r="AP11" i="17"/>
  <c r="AN11" i="17"/>
  <c r="AX233" i="17"/>
  <c r="AX210" i="17"/>
  <c r="AX122" i="17"/>
  <c r="AX148" i="17"/>
  <c r="AX225" i="17"/>
  <c r="AX129" i="17"/>
  <c r="AX144" i="17"/>
  <c r="AX138" i="17"/>
  <c r="AX125" i="17"/>
  <c r="AP63" i="17"/>
  <c r="AW69" i="17"/>
  <c r="AX245" i="17"/>
  <c r="AX239" i="17"/>
  <c r="AX230" i="17"/>
  <c r="AX188" i="17"/>
  <c r="AX169" i="1"/>
  <c r="AX220" i="17"/>
  <c r="AX252" i="17"/>
  <c r="AX175" i="17"/>
  <c r="AX161" i="17"/>
  <c r="AX253" i="17"/>
  <c r="AX257" i="17"/>
  <c r="AX168" i="17"/>
  <c r="AX170" i="17"/>
  <c r="AX209" i="17"/>
  <c r="AX182" i="17"/>
  <c r="AX95" i="17"/>
  <c r="AX174" i="17"/>
  <c r="AV200" i="1"/>
  <c r="AX200" i="1" s="1"/>
  <c r="AV181" i="1"/>
  <c r="AR181" i="17" s="1"/>
  <c r="AX155" i="17"/>
  <c r="AX191" i="17"/>
  <c r="AX101" i="17"/>
  <c r="AX107" i="17"/>
  <c r="AX217" i="17"/>
  <c r="AX140" i="17"/>
  <c r="AX146" i="17"/>
  <c r="AX226" i="17"/>
  <c r="AX126" i="17"/>
  <c r="AV195" i="1"/>
  <c r="AX195" i="1" s="1"/>
  <c r="AV223" i="1"/>
  <c r="AR223" i="17" s="1"/>
  <c r="AV128" i="1"/>
  <c r="AX128" i="1" s="1"/>
  <c r="AV79" i="1"/>
  <c r="AR79" i="17" s="1"/>
  <c r="AX152" i="17"/>
  <c r="AX104" i="17"/>
  <c r="AX185" i="17"/>
  <c r="AX92" i="17"/>
  <c r="AX169" i="17"/>
  <c r="AX96" i="17"/>
  <c r="AX164" i="17"/>
  <c r="AX106" i="17"/>
  <c r="AX236" i="1"/>
  <c r="AT236" i="17" s="1"/>
  <c r="AX210" i="1"/>
  <c r="AX130" i="17"/>
  <c r="BB72" i="1"/>
  <c r="AV72" i="1" s="1"/>
  <c r="AX72" i="1" s="1"/>
  <c r="AX238" i="17"/>
  <c r="BB65" i="1"/>
  <c r="AV65" i="1" s="1"/>
  <c r="AX65" i="1" s="1"/>
  <c r="AV172" i="1"/>
  <c r="AR172" i="17" s="1"/>
  <c r="AV154" i="1"/>
  <c r="AR154" i="17" s="1"/>
  <c r="AV201" i="1"/>
  <c r="AR201" i="17" s="1"/>
  <c r="AW63" i="17"/>
  <c r="BB63" i="1"/>
  <c r="AX63" i="17" s="1"/>
  <c r="AX68" i="1"/>
  <c r="AX121" i="1"/>
  <c r="AT121" i="17" s="1"/>
  <c r="AX261" i="1"/>
  <c r="AX142" i="1"/>
  <c r="AT142" i="17" s="1"/>
  <c r="AX146" i="1"/>
  <c r="AT260" i="17"/>
  <c r="AX131" i="17"/>
  <c r="AX242" i="17"/>
  <c r="AX244" i="1"/>
  <c r="AX129" i="1"/>
  <c r="AS256" i="17"/>
  <c r="AS71" i="17"/>
  <c r="AX104" i="1"/>
  <c r="AX183" i="1"/>
  <c r="AX148" i="1"/>
  <c r="AX220" i="1"/>
  <c r="AS218" i="17"/>
  <c r="AS77" i="17"/>
  <c r="AS85" i="17"/>
  <c r="AX190" i="1"/>
  <c r="AX160" i="1"/>
  <c r="AS236" i="17"/>
  <c r="AS196" i="17"/>
  <c r="AX258" i="1"/>
  <c r="AX153" i="1"/>
  <c r="AS261" i="17"/>
  <c r="AX194" i="1"/>
  <c r="AX162" i="1"/>
  <c r="AX150" i="1"/>
  <c r="AX91" i="1"/>
  <c r="AX225" i="1"/>
  <c r="AX140" i="1"/>
  <c r="AX130" i="1"/>
  <c r="AX164" i="1"/>
  <c r="AS84" i="17"/>
  <c r="AX232" i="1"/>
  <c r="AX207" i="1"/>
  <c r="AX99" i="1"/>
  <c r="AX90" i="1"/>
  <c r="AS121" i="17"/>
  <c r="AS109" i="17"/>
  <c r="AX227" i="1"/>
  <c r="AX217" i="1"/>
  <c r="AX149" i="1"/>
  <c r="AS66" i="17"/>
  <c r="AX137" i="1"/>
  <c r="AX178" i="1"/>
  <c r="AX131" i="1"/>
  <c r="AX111" i="1"/>
  <c r="AX186" i="1"/>
  <c r="AX144" i="1"/>
  <c r="AX209" i="1"/>
  <c r="AS73" i="17"/>
  <c r="AX156" i="1"/>
  <c r="AX176" i="1"/>
  <c r="AX170" i="1"/>
  <c r="AX138" i="1"/>
  <c r="AX239" i="1"/>
  <c r="AS94" i="17"/>
  <c r="AX237" i="1"/>
  <c r="AX171" i="1"/>
  <c r="AS228" i="17"/>
  <c r="AX198" i="1"/>
  <c r="AX185" i="1"/>
  <c r="AX168" i="1"/>
  <c r="AX230" i="1"/>
  <c r="AX100" i="1"/>
  <c r="AX174" i="1"/>
  <c r="AX134" i="1"/>
  <c r="AX191" i="1"/>
  <c r="AS169" i="17"/>
  <c r="AX92" i="1"/>
  <c r="AX242" i="1"/>
  <c r="AS248" i="17"/>
  <c r="AX175" i="1"/>
  <c r="AS210" i="17"/>
  <c r="AX78" i="1"/>
  <c r="AS234" i="17"/>
  <c r="AX167" i="1"/>
  <c r="AS76" i="17"/>
  <c r="AX240" i="1"/>
  <c r="AS68" i="17"/>
  <c r="AX226" i="1"/>
  <c r="AX106" i="1"/>
  <c r="AX152" i="1"/>
  <c r="AX163" i="1"/>
  <c r="AX205" i="1"/>
  <c r="AX114" i="1"/>
  <c r="AX241" i="1"/>
  <c r="AX105" i="1"/>
  <c r="AS123" i="17"/>
  <c r="AX251" i="1"/>
  <c r="AS184" i="17"/>
  <c r="AX213" i="1"/>
  <c r="AX139" i="1"/>
  <c r="AX254" i="1"/>
  <c r="AS86" i="17"/>
  <c r="AS243" i="17"/>
  <c r="AS216" i="17"/>
  <c r="AX192" i="1"/>
  <c r="AS75" i="17"/>
  <c r="AS202" i="17"/>
  <c r="AS146" i="17"/>
  <c r="AX101" i="1"/>
  <c r="AS199" i="17"/>
  <c r="AX238" i="1"/>
  <c r="AX252" i="1"/>
  <c r="AS206" i="17"/>
  <c r="AX157" i="1"/>
  <c r="AX95" i="1"/>
  <c r="AX147" i="1"/>
  <c r="AX159" i="1"/>
  <c r="AX102" i="1"/>
  <c r="AX115" i="1"/>
  <c r="AS173" i="17"/>
  <c r="AS250" i="17"/>
  <c r="AX155" i="1"/>
  <c r="AS222" i="17"/>
  <c r="AW263" i="1"/>
  <c r="AS142" i="17"/>
  <c r="AX182" i="1"/>
  <c r="AX229" i="1"/>
  <c r="AX166" i="1"/>
  <c r="AX197" i="1"/>
  <c r="AX221" i="1"/>
  <c r="AS141" i="17"/>
  <c r="AS116" i="17"/>
  <c r="AS193" i="17"/>
  <c r="AX132" i="1"/>
  <c r="AX179" i="1"/>
  <c r="AX135" i="1"/>
  <c r="AS208" i="17"/>
  <c r="AS74" i="17"/>
  <c r="AX246" i="1"/>
  <c r="AX107" i="1"/>
  <c r="AS187" i="17"/>
  <c r="AX204" i="1"/>
  <c r="AX257" i="1"/>
  <c r="AX233" i="1"/>
  <c r="AX215" i="1"/>
  <c r="AX247" i="1"/>
  <c r="AS259" i="17"/>
  <c r="AX188" i="1"/>
  <c r="AS260" i="17"/>
  <c r="AX235" i="1"/>
  <c r="AX125" i="1"/>
  <c r="AX158" i="1"/>
  <c r="AX126" i="1"/>
  <c r="AX98" i="1"/>
  <c r="AX113" i="1"/>
  <c r="AX253" i="1"/>
  <c r="AS124" i="17"/>
  <c r="AX180" i="1"/>
  <c r="AS177" i="17"/>
  <c r="AS214" i="17"/>
  <c r="AX97" i="1"/>
  <c r="AX122" i="1"/>
  <c r="AX108" i="1"/>
  <c r="AX96" i="1"/>
  <c r="AX151" i="1"/>
  <c r="AX255" i="1"/>
  <c r="AS262" i="17"/>
  <c r="AS212" i="17"/>
  <c r="AX211" i="1"/>
  <c r="AX189" i="1"/>
  <c r="AX127" i="1"/>
  <c r="AX112" i="1"/>
  <c r="AS112" i="17"/>
  <c r="AX80" i="1"/>
  <c r="AX249" i="1"/>
  <c r="AX165" i="1"/>
  <c r="AS165" i="17"/>
  <c r="AS203" i="17"/>
  <c r="AX203" i="1"/>
  <c r="AX143" i="1"/>
  <c r="AX119" i="1"/>
  <c r="AX93" i="1"/>
  <c r="AS93" i="17"/>
  <c r="AX224" i="1"/>
  <c r="AS224" i="17"/>
  <c r="AX245" i="1"/>
  <c r="AS133" i="17"/>
  <c r="AX161" i="1"/>
  <c r="AS219" i="17"/>
  <c r="AX219" i="1"/>
  <c r="AS231" i="17"/>
  <c r="AX231" i="1"/>
  <c r="AR131" i="17"/>
  <c r="AR98" i="17"/>
  <c r="AS63" i="17"/>
  <c r="AW65" i="17"/>
  <c r="AR20" i="17"/>
  <c r="AX163" i="17"/>
  <c r="AR163" i="17"/>
  <c r="AX241" i="17"/>
  <c r="AX132" i="17"/>
  <c r="AR132" i="17"/>
  <c r="AX150" i="17"/>
  <c r="AR35" i="17"/>
  <c r="AR242" i="17"/>
  <c r="AW72" i="17"/>
  <c r="AX249" i="17"/>
  <c r="AX255" i="17"/>
  <c r="AR32" i="17"/>
  <c r="AX229" i="17"/>
  <c r="AX136" i="1"/>
  <c r="AX103" i="1"/>
  <c r="AR23" i="17"/>
  <c r="AR91" i="17"/>
  <c r="AX91" i="17"/>
  <c r="AX136" i="17"/>
  <c r="AV69" i="1"/>
  <c r="AX69" i="1" s="1"/>
  <c r="AX110" i="1"/>
  <c r="AX194" i="17"/>
  <c r="AR207" i="17"/>
  <c r="AR114" i="17"/>
  <c r="AX139" i="17"/>
  <c r="AV47" i="1"/>
  <c r="AX47" i="17"/>
  <c r="AX147" i="17"/>
  <c r="AR147" i="17"/>
  <c r="AX159" i="17"/>
  <c r="AX103" i="17"/>
  <c r="AR53" i="17"/>
  <c r="AV55" i="1"/>
  <c r="AX55" i="17"/>
  <c r="AV37" i="1"/>
  <c r="AX37" i="17"/>
  <c r="AR26" i="17"/>
  <c r="AR159" i="17"/>
  <c r="AR99" i="17"/>
  <c r="AV118" i="1"/>
  <c r="AX118" i="17"/>
  <c r="AR238" i="17"/>
  <c r="AU264" i="17"/>
  <c r="AR193" i="17"/>
  <c r="AR169" i="17"/>
  <c r="AT120" i="17"/>
  <c r="AT256" i="17"/>
  <c r="AR239" i="17"/>
  <c r="AR208" i="17"/>
  <c r="AR189" i="17"/>
  <c r="AR171" i="17"/>
  <c r="AR251" i="17"/>
  <c r="AR220" i="17"/>
  <c r="AR229" i="17"/>
  <c r="AR146" i="17"/>
  <c r="AR179" i="17"/>
  <c r="AR255" i="17"/>
  <c r="AR112" i="17"/>
  <c r="AR185" i="17"/>
  <c r="AR162" i="17"/>
  <c r="AR51" i="17"/>
  <c r="AR124" i="17"/>
  <c r="AX165" i="17"/>
  <c r="AX167" i="17"/>
  <c r="AX254" i="17"/>
  <c r="AX156" i="17"/>
  <c r="AX135" i="17"/>
  <c r="AX151" i="17"/>
  <c r="AX33" i="17"/>
  <c r="AR233" i="17"/>
  <c r="AR123" i="17"/>
  <c r="AR206" i="17"/>
  <c r="AR204" i="17"/>
  <c r="AR182" i="17"/>
  <c r="AR187" i="17"/>
  <c r="AR237" i="17"/>
  <c r="AR194" i="17"/>
  <c r="AR202" i="17"/>
  <c r="AR247" i="17"/>
  <c r="AT109" i="17"/>
  <c r="AR153" i="17"/>
  <c r="AT173" i="17"/>
  <c r="AR210" i="17"/>
  <c r="AR245" i="17"/>
  <c r="AX133" i="17"/>
  <c r="AX29" i="17"/>
  <c r="AX134" i="17"/>
  <c r="AX97" i="17"/>
  <c r="AX160" i="17"/>
  <c r="AX246" i="17"/>
  <c r="AX166" i="17"/>
  <c r="AX205" i="17"/>
  <c r="AX221" i="17"/>
  <c r="AR139" i="17"/>
  <c r="AR155" i="17"/>
  <c r="AR235" i="17"/>
  <c r="AR186" i="17"/>
  <c r="AR234" i="17"/>
  <c r="AR253" i="17"/>
  <c r="AR243" i="17"/>
  <c r="AT124" i="17"/>
  <c r="AR183" i="17"/>
  <c r="AT184" i="17"/>
  <c r="AR261" i="17"/>
  <c r="AR191" i="17"/>
  <c r="AR230" i="17"/>
  <c r="AR241" i="17"/>
  <c r="AR222" i="17"/>
  <c r="AR198" i="17"/>
  <c r="AR258" i="17"/>
  <c r="AR199" i="17"/>
  <c r="AR178" i="17"/>
  <c r="AT228" i="17"/>
  <c r="AT196" i="17"/>
  <c r="AR21" i="17"/>
  <c r="AR27" i="17"/>
  <c r="AR36" i="17"/>
  <c r="AX206" i="17"/>
  <c r="AX59" i="17"/>
  <c r="AX113" i="17"/>
  <c r="AX115" i="17"/>
  <c r="AX68" i="17"/>
  <c r="AX78" i="17"/>
  <c r="AR249" i="17"/>
  <c r="AR231" i="17"/>
  <c r="AR107" i="17"/>
  <c r="AR218" i="17"/>
  <c r="AR262" i="17"/>
  <c r="AT248" i="17"/>
  <c r="AR96" i="17"/>
  <c r="AR212" i="17"/>
  <c r="AR257" i="17"/>
  <c r="AR137" i="17"/>
  <c r="AR130" i="17"/>
  <c r="AR216" i="17"/>
  <c r="AR190" i="17"/>
  <c r="AR225" i="17"/>
  <c r="AR226" i="17"/>
  <c r="AR227" i="17"/>
  <c r="AR214" i="17"/>
  <c r="AR80" i="17"/>
  <c r="AT141" i="17"/>
  <c r="AT94" i="17"/>
  <c r="AR19" i="17"/>
  <c r="AR211" i="17"/>
  <c r="AR219" i="17"/>
  <c r="AX116" i="17"/>
  <c r="AX180" i="17"/>
  <c r="AX149" i="17"/>
  <c r="AX42" i="17"/>
  <c r="AX213" i="17"/>
  <c r="AX250" i="17"/>
  <c r="AX177" i="17"/>
  <c r="AX145" i="17"/>
  <c r="AX49" i="17"/>
  <c r="AX28" i="17"/>
  <c r="AX41" i="17"/>
  <c r="AX57" i="17"/>
  <c r="AX16" i="17"/>
  <c r="AX52" i="17"/>
  <c r="AX14" i="17"/>
  <c r="AR14" i="17"/>
  <c r="AX13" i="17"/>
  <c r="AR13" i="17"/>
  <c r="AX25" i="17"/>
  <c r="AS64" i="17"/>
  <c r="AR259" i="17"/>
  <c r="AR197" i="17"/>
  <c r="E5" i="3"/>
  <c r="AX145" i="1" l="1"/>
  <c r="N58" i="7"/>
  <c r="AX181" i="1"/>
  <c r="AT181" i="17" s="1"/>
  <c r="N62" i="7"/>
  <c r="N61" i="7"/>
  <c r="BB89" i="1"/>
  <c r="AW89" i="17"/>
  <c r="BC63" i="1"/>
  <c r="AZ264" i="1"/>
  <c r="AW12" i="17"/>
  <c r="AV263" i="17"/>
  <c r="AV264" i="17" s="1"/>
  <c r="AW82" i="17"/>
  <c r="BB82" i="1"/>
  <c r="BB76" i="1"/>
  <c r="AW76" i="17"/>
  <c r="AW64" i="17"/>
  <c r="BB64" i="1"/>
  <c r="AW88" i="17"/>
  <c r="BB88" i="1"/>
  <c r="AW84" i="17"/>
  <c r="BB84" i="1"/>
  <c r="AW83" i="17"/>
  <c r="BB83" i="1"/>
  <c r="AW73" i="17"/>
  <c r="BB73" i="1"/>
  <c r="BB81" i="1"/>
  <c r="AW81" i="17"/>
  <c r="AW86" i="17"/>
  <c r="BB86" i="1"/>
  <c r="AW75" i="17"/>
  <c r="BB75" i="1"/>
  <c r="BB71" i="1"/>
  <c r="AW71" i="17"/>
  <c r="AW87" i="17"/>
  <c r="BB87" i="1"/>
  <c r="BB74" i="1"/>
  <c r="AW74" i="17"/>
  <c r="BB70" i="1"/>
  <c r="AW70" i="17"/>
  <c r="AW67" i="17"/>
  <c r="BB67" i="1"/>
  <c r="BB66" i="1"/>
  <c r="AW66" i="17"/>
  <c r="BB77" i="1"/>
  <c r="AW77" i="17"/>
  <c r="AR11" i="17"/>
  <c r="BC11" i="1"/>
  <c r="AX117" i="1"/>
  <c r="AT117" i="17" s="1"/>
  <c r="AX11" i="17"/>
  <c r="AW11" i="17"/>
  <c r="AV85" i="1"/>
  <c r="AX85" i="17"/>
  <c r="AP263" i="17"/>
  <c r="AV63" i="1"/>
  <c r="AX63" i="1" s="1"/>
  <c r="AT63" i="17" s="1"/>
  <c r="AR128" i="17"/>
  <c r="AN61" i="17"/>
  <c r="AP61" i="17" s="1"/>
  <c r="AN263" i="17"/>
  <c r="AX154" i="1"/>
  <c r="AT154" i="17" s="1"/>
  <c r="AX223" i="1"/>
  <c r="AT223" i="17" s="1"/>
  <c r="AR195" i="17"/>
  <c r="AR200" i="17"/>
  <c r="AX72" i="17"/>
  <c r="AX172" i="1"/>
  <c r="AT172" i="17" s="1"/>
  <c r="AX79" i="1"/>
  <c r="AT79" i="17" s="1"/>
  <c r="AX65" i="17"/>
  <c r="AX201" i="1"/>
  <c r="AT201" i="17" s="1"/>
  <c r="AT126" i="17"/>
  <c r="AT114" i="17"/>
  <c r="AT100" i="17"/>
  <c r="AT217" i="17"/>
  <c r="AT91" i="17"/>
  <c r="AT103" i="17"/>
  <c r="AT215" i="17"/>
  <c r="AT95" i="17"/>
  <c r="AT242" i="17"/>
  <c r="AT170" i="17"/>
  <c r="AT209" i="17"/>
  <c r="AT111" i="17"/>
  <c r="AT90" i="17"/>
  <c r="AT232" i="17"/>
  <c r="AT150" i="17"/>
  <c r="AT244" i="17"/>
  <c r="AT80" i="17"/>
  <c r="AT147" i="17"/>
  <c r="AT252" i="17"/>
  <c r="AT192" i="17"/>
  <c r="AT240" i="17"/>
  <c r="AT104" i="17"/>
  <c r="AT119" i="17"/>
  <c r="AT108" i="17"/>
  <c r="AT158" i="17"/>
  <c r="AT188" i="17"/>
  <c r="AT238" i="17"/>
  <c r="AT106" i="17"/>
  <c r="AT110" i="17"/>
  <c r="AT161" i="17"/>
  <c r="AT224" i="17"/>
  <c r="AT143" i="17"/>
  <c r="AT125" i="17"/>
  <c r="AT132" i="17"/>
  <c r="AT102" i="17"/>
  <c r="AT157" i="17"/>
  <c r="AT105" i="17"/>
  <c r="AT168" i="17"/>
  <c r="AT176" i="17"/>
  <c r="AT131" i="17"/>
  <c r="AT99" i="17"/>
  <c r="AT140" i="17"/>
  <c r="AT162" i="17"/>
  <c r="AT148" i="17"/>
  <c r="AT93" i="17"/>
  <c r="AT152" i="17"/>
  <c r="AT138" i="17"/>
  <c r="AT136" i="17"/>
  <c r="AT203" i="17"/>
  <c r="AT127" i="17"/>
  <c r="AT122" i="17"/>
  <c r="AT98" i="17"/>
  <c r="AT159" i="17"/>
  <c r="AT101" i="17"/>
  <c r="AT163" i="17"/>
  <c r="AT175" i="17"/>
  <c r="AT92" i="17"/>
  <c r="AT174" i="17"/>
  <c r="AT144" i="17"/>
  <c r="AT207" i="17"/>
  <c r="AT164" i="17"/>
  <c r="AS263" i="17"/>
  <c r="AX69" i="17"/>
  <c r="AR37" i="17"/>
  <c r="AR118" i="17"/>
  <c r="AX118" i="1"/>
  <c r="AR55" i="17"/>
  <c r="AR47" i="17"/>
  <c r="AR44" i="17"/>
  <c r="AT186" i="17"/>
  <c r="AT222" i="17"/>
  <c r="AT239" i="17"/>
  <c r="AT155" i="17"/>
  <c r="AT179" i="17"/>
  <c r="AT229" i="17"/>
  <c r="AT183" i="17"/>
  <c r="AT218" i="17"/>
  <c r="AT257" i="17"/>
  <c r="AT235" i="17"/>
  <c r="AR28" i="17"/>
  <c r="AT245" i="17"/>
  <c r="AR250" i="17"/>
  <c r="AR149" i="17"/>
  <c r="AR59" i="17"/>
  <c r="AR221" i="17"/>
  <c r="AR246" i="17"/>
  <c r="AR29" i="17"/>
  <c r="AR33" i="17"/>
  <c r="AR156" i="17"/>
  <c r="AT194" i="17"/>
  <c r="AT220" i="17"/>
  <c r="AR68" i="17"/>
  <c r="AR69" i="17"/>
  <c r="AT191" i="17"/>
  <c r="AT227" i="17"/>
  <c r="AT237" i="17"/>
  <c r="AT249" i="17"/>
  <c r="AT96" i="17"/>
  <c r="AT225" i="17"/>
  <c r="AT169" i="17"/>
  <c r="AT208" i="17"/>
  <c r="AR65" i="17"/>
  <c r="AT178" i="17"/>
  <c r="AT259" i="17"/>
  <c r="AT211" i="17"/>
  <c r="AR116" i="17"/>
  <c r="AR113" i="17"/>
  <c r="AR166" i="17"/>
  <c r="AR134" i="17"/>
  <c r="AR135" i="17"/>
  <c r="AR165" i="17"/>
  <c r="AT206" i="17"/>
  <c r="AT187" i="17"/>
  <c r="AT243" i="17"/>
  <c r="AT190" i="17"/>
  <c r="AT146" i="17"/>
  <c r="AT230" i="17"/>
  <c r="AT234" i="17"/>
  <c r="AT139" i="17"/>
  <c r="AT182" i="17"/>
  <c r="AT255" i="17"/>
  <c r="AT226" i="17"/>
  <c r="AT195" i="17"/>
  <c r="AT210" i="17"/>
  <c r="AT216" i="17"/>
  <c r="AT212" i="17"/>
  <c r="AT171" i="17"/>
  <c r="AT253" i="17"/>
  <c r="AT199" i="17"/>
  <c r="AT153" i="17"/>
  <c r="AT241" i="17"/>
  <c r="AT202" i="17"/>
  <c r="AT137" i="17"/>
  <c r="AT262" i="17"/>
  <c r="AT233" i="17"/>
  <c r="AR72" i="17"/>
  <c r="AT128" i="17"/>
  <c r="AT107" i="17"/>
  <c r="AT123" i="17"/>
  <c r="AT214" i="17"/>
  <c r="AR16" i="17"/>
  <c r="AT219" i="17"/>
  <c r="AR42" i="17"/>
  <c r="AR115" i="17"/>
  <c r="AR97" i="17"/>
  <c r="AR133" i="17"/>
  <c r="AR151" i="17"/>
  <c r="AR167" i="17"/>
  <c r="AT198" i="17"/>
  <c r="AR78" i="17"/>
  <c r="AT200" i="17"/>
  <c r="AT261" i="17"/>
  <c r="AT231" i="17"/>
  <c r="AT258" i="17"/>
  <c r="AT247" i="17"/>
  <c r="AT251" i="17"/>
  <c r="AT189" i="17"/>
  <c r="AT204" i="17"/>
  <c r="AT130" i="17"/>
  <c r="AT193" i="17"/>
  <c r="AT112" i="17"/>
  <c r="AT197" i="17"/>
  <c r="AR213" i="17"/>
  <c r="AT180" i="17"/>
  <c r="AR180" i="17"/>
  <c r="AR205" i="17"/>
  <c r="AT160" i="17"/>
  <c r="AR160" i="17"/>
  <c r="AT185" i="17"/>
  <c r="AR254" i="17"/>
  <c r="AR145" i="17"/>
  <c r="AR129" i="17"/>
  <c r="AR177" i="17"/>
  <c r="AR52" i="17"/>
  <c r="AR25" i="17"/>
  <c r="AR41" i="17"/>
  <c r="AR49" i="17"/>
  <c r="AR57" i="17"/>
  <c r="AX12" i="17"/>
  <c r="AA85" i="1"/>
  <c r="A75" i="17" s="1"/>
  <c r="AA84" i="1"/>
  <c r="A74" i="17" s="1"/>
  <c r="AB83" i="1"/>
  <c r="B73" i="17" s="1"/>
  <c r="AA82" i="1"/>
  <c r="A72" i="17" s="1"/>
  <c r="AA81" i="1"/>
  <c r="A71" i="17" s="1"/>
  <c r="AB80" i="1"/>
  <c r="B70" i="17" s="1"/>
  <c r="AD85" i="1"/>
  <c r="D75" i="17" s="1"/>
  <c r="F75" i="17" s="1"/>
  <c r="AD84" i="1"/>
  <c r="D74" i="17" s="1"/>
  <c r="F74" i="17" s="1"/>
  <c r="AB77" i="1"/>
  <c r="E67" i="17" s="1"/>
  <c r="Z77" i="1"/>
  <c r="C67" i="17" s="1"/>
  <c r="X77" i="1"/>
  <c r="A67" i="17" s="1"/>
  <c r="AB76" i="1"/>
  <c r="E66" i="17" s="1"/>
  <c r="Z76" i="1"/>
  <c r="C66" i="17" s="1"/>
  <c r="X76" i="1"/>
  <c r="A66" i="17" s="1"/>
  <c r="AD82" i="1"/>
  <c r="D72" i="17" s="1"/>
  <c r="F72" i="17" s="1"/>
  <c r="AB75" i="1"/>
  <c r="E65" i="17" s="1"/>
  <c r="Z75" i="1"/>
  <c r="C65" i="17" s="1"/>
  <c r="X75" i="1"/>
  <c r="A65" i="17" s="1"/>
  <c r="AD81" i="1"/>
  <c r="D71" i="17" s="1"/>
  <c r="F71" i="17" s="1"/>
  <c r="AD71" i="1"/>
  <c r="G61" i="17" s="1"/>
  <c r="I61" i="17" s="1"/>
  <c r="AB71" i="1"/>
  <c r="E61" i="17" s="1"/>
  <c r="Z71" i="1"/>
  <c r="C61" i="17" s="1"/>
  <c r="X71" i="1"/>
  <c r="A61" i="17" s="1"/>
  <c r="AD70" i="1"/>
  <c r="G60" i="17" s="1"/>
  <c r="I60" i="17" s="1"/>
  <c r="AB70" i="1"/>
  <c r="E60" i="17" s="1"/>
  <c r="Z70" i="1"/>
  <c r="C60" i="17" s="1"/>
  <c r="X70" i="1"/>
  <c r="A60" i="17" s="1"/>
  <c r="AD69" i="1"/>
  <c r="G59" i="17" s="1"/>
  <c r="I59" i="17" s="1"/>
  <c r="AB69" i="1"/>
  <c r="E59" i="17" s="1"/>
  <c r="Z69" i="1"/>
  <c r="C59" i="17" s="1"/>
  <c r="AD68" i="1"/>
  <c r="G58" i="17" s="1"/>
  <c r="I58" i="17" s="1"/>
  <c r="AB68" i="1"/>
  <c r="E58" i="17" s="1"/>
  <c r="Z68" i="1"/>
  <c r="C58" i="17" s="1"/>
  <c r="AB67" i="1"/>
  <c r="E57" i="17" s="1"/>
  <c r="Z67" i="1"/>
  <c r="C57" i="17" s="1"/>
  <c r="AB66" i="1"/>
  <c r="E56" i="17" s="1"/>
  <c r="Z66" i="1"/>
  <c r="C56" i="17" s="1"/>
  <c r="AB65" i="1"/>
  <c r="E55" i="17" s="1"/>
  <c r="G54" i="17"/>
  <c r="AB64" i="1"/>
  <c r="Z64" i="1"/>
  <c r="C54" i="17" s="1"/>
  <c r="X64" i="1"/>
  <c r="AD63" i="1"/>
  <c r="G53" i="17" s="1"/>
  <c r="AB63" i="1"/>
  <c r="Z63" i="1"/>
  <c r="C53" i="17" s="1"/>
  <c r="X63" i="1"/>
  <c r="AD62" i="1"/>
  <c r="G52" i="17" s="1"/>
  <c r="AB62" i="1"/>
  <c r="E52" i="17" s="1"/>
  <c r="Z62" i="1"/>
  <c r="C52" i="17" s="1"/>
  <c r="X62" i="1"/>
  <c r="A52" i="17" s="1"/>
  <c r="AD60" i="1"/>
  <c r="G50" i="17" s="1"/>
  <c r="I50" i="17" s="1"/>
  <c r="AB60" i="1"/>
  <c r="E50" i="17" s="1"/>
  <c r="AD59" i="1"/>
  <c r="G49" i="17" s="1"/>
  <c r="I49" i="17" s="1"/>
  <c r="AB59" i="1"/>
  <c r="E49" i="17" s="1"/>
  <c r="AD58" i="1"/>
  <c r="G48" i="17" s="1"/>
  <c r="I48" i="17" s="1"/>
  <c r="AB58" i="1"/>
  <c r="E48" i="17" s="1"/>
  <c r="AD57" i="1"/>
  <c r="G47" i="17" s="1"/>
  <c r="I47" i="17" s="1"/>
  <c r="AB57" i="1"/>
  <c r="E47" i="17" s="1"/>
  <c r="AD56" i="1"/>
  <c r="G46" i="17" s="1"/>
  <c r="I46" i="17" s="1"/>
  <c r="AB56" i="1"/>
  <c r="E46" i="17" s="1"/>
  <c r="AD55" i="1"/>
  <c r="G45" i="17" s="1"/>
  <c r="I45" i="17" s="1"/>
  <c r="AB55" i="1"/>
  <c r="E45" i="17" s="1"/>
  <c r="AD54" i="1"/>
  <c r="G44" i="17" s="1"/>
  <c r="I44" i="17" s="1"/>
  <c r="AB54" i="1"/>
  <c r="E44" i="17" s="1"/>
  <c r="AD53" i="1"/>
  <c r="G43" i="17" s="1"/>
  <c r="I43" i="17" s="1"/>
  <c r="AB53" i="1"/>
  <c r="E43" i="17" s="1"/>
  <c r="AD52" i="1"/>
  <c r="G42" i="17" s="1"/>
  <c r="I42" i="17" s="1"/>
  <c r="AB52" i="1"/>
  <c r="AD51" i="1"/>
  <c r="G41" i="17" s="1"/>
  <c r="I41" i="17" s="1"/>
  <c r="AB51" i="1"/>
  <c r="E41" i="17" s="1"/>
  <c r="Z51" i="1"/>
  <c r="C41" i="17" s="1"/>
  <c r="X51" i="1"/>
  <c r="A41" i="17" s="1"/>
  <c r="AD49" i="1"/>
  <c r="G39" i="17" s="1"/>
  <c r="I39" i="17" s="1"/>
  <c r="AB49" i="1"/>
  <c r="Z49" i="1"/>
  <c r="C39" i="17" s="1"/>
  <c r="X49" i="1"/>
  <c r="A39" i="17" s="1"/>
  <c r="AD48" i="1"/>
  <c r="G38" i="17" s="1"/>
  <c r="I38" i="17" s="1"/>
  <c r="AB48" i="1"/>
  <c r="Z48" i="1"/>
  <c r="C38" i="17" s="1"/>
  <c r="X48" i="1"/>
  <c r="A38" i="17" s="1"/>
  <c r="AD47" i="1"/>
  <c r="G37" i="17" s="1"/>
  <c r="I37" i="17" s="1"/>
  <c r="AB47" i="1"/>
  <c r="Z47" i="1"/>
  <c r="C37" i="17" s="1"/>
  <c r="X47" i="1"/>
  <c r="A37" i="17" s="1"/>
  <c r="AD46" i="1"/>
  <c r="G36" i="17" s="1"/>
  <c r="I36" i="17" s="1"/>
  <c r="AB46" i="1"/>
  <c r="Z46" i="1"/>
  <c r="X46" i="1"/>
  <c r="AD45" i="1"/>
  <c r="G35" i="17" s="1"/>
  <c r="I35" i="17" s="1"/>
  <c r="AB45" i="1"/>
  <c r="Z45" i="1"/>
  <c r="X45" i="1"/>
  <c r="AD44" i="1"/>
  <c r="G34" i="17" s="1"/>
  <c r="I34" i="17" s="1"/>
  <c r="AB44" i="1"/>
  <c r="E34" i="17" s="1"/>
  <c r="Z44" i="1"/>
  <c r="C34" i="17" s="1"/>
  <c r="X44" i="1"/>
  <c r="AD43" i="1"/>
  <c r="G33" i="17" s="1"/>
  <c r="I33" i="17" s="1"/>
  <c r="X43" i="1"/>
  <c r="A33" i="17" s="1"/>
  <c r="AD31" i="1"/>
  <c r="G21" i="17" s="1"/>
  <c r="I21" i="17" s="1"/>
  <c r="AB31" i="1"/>
  <c r="E21" i="17" s="1"/>
  <c r="Z31" i="1"/>
  <c r="C21" i="17" s="1"/>
  <c r="AD30" i="1"/>
  <c r="G20" i="17" s="1"/>
  <c r="I20" i="17" s="1"/>
  <c r="AB30" i="1"/>
  <c r="E20" i="17" s="1"/>
  <c r="Z30" i="1"/>
  <c r="C20" i="17" s="1"/>
  <c r="AD29" i="1"/>
  <c r="G19" i="17" s="1"/>
  <c r="I19" i="17" s="1"/>
  <c r="AB29" i="1"/>
  <c r="E19" i="17" s="1"/>
  <c r="Z29" i="1"/>
  <c r="C19" i="17" s="1"/>
  <c r="AD28" i="1"/>
  <c r="G18" i="17" s="1"/>
  <c r="I18" i="17" s="1"/>
  <c r="AD27" i="1"/>
  <c r="G17" i="17" s="1"/>
  <c r="I17" i="17" s="1"/>
  <c r="AB27" i="1"/>
  <c r="E17" i="17" s="1"/>
  <c r="Z27" i="1"/>
  <c r="C17" i="17" s="1"/>
  <c r="AD26" i="1"/>
  <c r="G16" i="17" s="1"/>
  <c r="I16" i="17" s="1"/>
  <c r="AB26" i="1"/>
  <c r="E16" i="17" s="1"/>
  <c r="Z26" i="1"/>
  <c r="C16" i="17" s="1"/>
  <c r="AD25" i="1"/>
  <c r="G15" i="17" s="1"/>
  <c r="AB25" i="1"/>
  <c r="E15" i="17" s="1"/>
  <c r="Z25" i="1"/>
  <c r="C15" i="17" s="1"/>
  <c r="AA83" i="1"/>
  <c r="AA80" i="1"/>
  <c r="AF71" i="1"/>
  <c r="AF70" i="1"/>
  <c r="AF69" i="1"/>
  <c r="AF68" i="1"/>
  <c r="AF67" i="1"/>
  <c r="AF66" i="1"/>
  <c r="AF65" i="1"/>
  <c r="AF64" i="1"/>
  <c r="AF63" i="1"/>
  <c r="AA51" i="1"/>
  <c r="AF31" i="1"/>
  <c r="AF30" i="1"/>
  <c r="AF29" i="1"/>
  <c r="AF28" i="1"/>
  <c r="AF27" i="1"/>
  <c r="AF26" i="1"/>
  <c r="AV89" i="1" l="1"/>
  <c r="AX89" i="17"/>
  <c r="AV67" i="1"/>
  <c r="AX67" i="17"/>
  <c r="AV83" i="1"/>
  <c r="AX83" i="17"/>
  <c r="AV88" i="1"/>
  <c r="AX88" i="17"/>
  <c r="I53" i="17"/>
  <c r="I54" i="17"/>
  <c r="AV77" i="1"/>
  <c r="AX77" i="17"/>
  <c r="AV74" i="1"/>
  <c r="AX74" i="17"/>
  <c r="AV71" i="1"/>
  <c r="AX71" i="17"/>
  <c r="AV81" i="1"/>
  <c r="AX81" i="17"/>
  <c r="AV76" i="1"/>
  <c r="AX76" i="17"/>
  <c r="AV87" i="1"/>
  <c r="AX87" i="17"/>
  <c r="AV75" i="1"/>
  <c r="AX75" i="17"/>
  <c r="AV86" i="1"/>
  <c r="AX86" i="17"/>
  <c r="AV73" i="1"/>
  <c r="AX73" i="17"/>
  <c r="AV84" i="1"/>
  <c r="AX84" i="17"/>
  <c r="AV64" i="1"/>
  <c r="AX64" i="17"/>
  <c r="AV82" i="1"/>
  <c r="AX82" i="17"/>
  <c r="AA56" i="1"/>
  <c r="D46" i="17" s="1"/>
  <c r="AA53" i="1"/>
  <c r="AA57" i="1"/>
  <c r="D47" i="17" s="1"/>
  <c r="AA52" i="1"/>
  <c r="D42" i="17" s="1"/>
  <c r="AA58" i="1"/>
  <c r="D48" i="17" s="1"/>
  <c r="AA59" i="1"/>
  <c r="D49" i="17" s="1"/>
  <c r="AA54" i="1"/>
  <c r="D44" i="17" s="1"/>
  <c r="AA55" i="1"/>
  <c r="D45" i="17" s="1"/>
  <c r="AA60" i="1"/>
  <c r="D50" i="17" s="1"/>
  <c r="D41" i="17"/>
  <c r="AV66" i="1"/>
  <c r="AX66" i="17"/>
  <c r="AV70" i="1"/>
  <c r="AX70" i="17"/>
  <c r="AR85" i="17"/>
  <c r="AX85" i="1"/>
  <c r="AT85" i="17" s="1"/>
  <c r="AP264" i="17"/>
  <c r="AN264" i="17"/>
  <c r="AV61" i="1"/>
  <c r="AT69" i="17"/>
  <c r="AT68" i="17"/>
  <c r="AT177" i="17"/>
  <c r="AT205" i="17"/>
  <c r="AT97" i="17"/>
  <c r="AT166" i="17"/>
  <c r="AT246" i="17"/>
  <c r="AT149" i="17"/>
  <c r="AT65" i="17"/>
  <c r="AT78" i="17"/>
  <c r="AT254" i="17"/>
  <c r="AT133" i="17"/>
  <c r="AT134" i="17"/>
  <c r="AT156" i="17"/>
  <c r="AT72" i="17"/>
  <c r="AT129" i="17"/>
  <c r="AT145" i="17"/>
  <c r="AT213" i="17"/>
  <c r="AT151" i="17"/>
  <c r="AT115" i="17"/>
  <c r="AT135" i="17"/>
  <c r="AT116" i="17"/>
  <c r="AT167" i="17"/>
  <c r="AT165" i="17"/>
  <c r="AT113" i="17"/>
  <c r="AT221" i="17"/>
  <c r="AT250" i="17"/>
  <c r="AV263" i="1" l="1"/>
  <c r="AX89" i="1"/>
  <c r="AT89" i="17" s="1"/>
  <c r="AR89" i="17"/>
  <c r="AX66" i="1"/>
  <c r="AT66" i="17" s="1"/>
  <c r="AR66" i="17"/>
  <c r="AX82" i="1"/>
  <c r="AT82" i="17" s="1"/>
  <c r="AR82" i="17"/>
  <c r="AR84" i="17"/>
  <c r="AX84" i="1"/>
  <c r="AT84" i="17" s="1"/>
  <c r="AR86" i="17"/>
  <c r="AX86" i="1"/>
  <c r="AT86" i="17" s="1"/>
  <c r="AR87" i="17"/>
  <c r="AX87" i="1"/>
  <c r="AT87" i="17" s="1"/>
  <c r="AX81" i="1"/>
  <c r="AT81" i="17" s="1"/>
  <c r="AR81" i="17"/>
  <c r="AX74" i="1"/>
  <c r="AT74" i="17" s="1"/>
  <c r="AR74" i="17"/>
  <c r="AR83" i="17"/>
  <c r="AX83" i="1"/>
  <c r="AT83" i="17" s="1"/>
  <c r="AA65" i="1"/>
  <c r="D55" i="17" s="1"/>
  <c r="D43" i="17"/>
  <c r="AX70" i="1"/>
  <c r="AR70" i="17"/>
  <c r="AX64" i="1"/>
  <c r="AT64" i="17" s="1"/>
  <c r="AR73" i="17"/>
  <c r="AX73" i="1"/>
  <c r="AT73" i="17" s="1"/>
  <c r="AX75" i="1"/>
  <c r="AT75" i="17" s="1"/>
  <c r="AR75" i="17"/>
  <c r="AX76" i="1"/>
  <c r="AT76" i="17" s="1"/>
  <c r="AR76" i="17"/>
  <c r="AX71" i="1"/>
  <c r="AT71" i="17" s="1"/>
  <c r="AR71" i="17"/>
  <c r="AX77" i="1"/>
  <c r="AT77" i="17" s="1"/>
  <c r="AR77" i="17"/>
  <c r="AR88" i="17"/>
  <c r="AX88" i="1"/>
  <c r="AT88" i="17" s="1"/>
  <c r="AR67" i="17"/>
  <c r="AX67" i="1"/>
  <c r="AT67" i="17" s="1"/>
  <c r="AR63" i="17"/>
  <c r="AV264" i="1"/>
  <c r="AR12" i="17"/>
  <c r="AR61" i="17" s="1"/>
  <c r="AT118" i="17"/>
  <c r="AT70" i="17"/>
  <c r="O24" i="1"/>
  <c r="O23" i="1"/>
  <c r="AX263" i="1" l="1"/>
  <c r="AR64" i="17"/>
  <c r="AR263" i="17" s="1"/>
  <c r="AR264" i="17" s="1"/>
  <c r="AT263" i="17"/>
  <c r="V21" i="1"/>
  <c r="V20" i="1"/>
  <c r="V18" i="1"/>
  <c r="V17" i="1"/>
  <c r="V16" i="1"/>
  <c r="V15" i="1"/>
  <c r="V14" i="1"/>
  <c r="V12" i="1"/>
  <c r="V11" i="1"/>
  <c r="V9" i="1"/>
  <c r="V8" i="1"/>
  <c r="AD104" i="6" l="1"/>
  <c r="AD17" i="6"/>
  <c r="AD16" i="6"/>
  <c r="AD103" i="6"/>
  <c r="AD13" i="6"/>
  <c r="AD100" i="6"/>
  <c r="AD11" i="6"/>
  <c r="AD98" i="6"/>
  <c r="AD7" i="6"/>
  <c r="AD94" i="6"/>
  <c r="AD8" i="6"/>
  <c r="AD95" i="6"/>
  <c r="AD101" i="6"/>
  <c r="AD14" i="6"/>
  <c r="AD19" i="6"/>
  <c r="AD106" i="6"/>
  <c r="AD97" i="6"/>
  <c r="AD10" i="6"/>
  <c r="AD15" i="6"/>
  <c r="AD102" i="6"/>
  <c r="AD107" i="6"/>
  <c r="AD20" i="6"/>
  <c r="Z43" i="15"/>
  <c r="W43" i="15"/>
  <c r="T43" i="15"/>
  <c r="Q43" i="15"/>
  <c r="N43" i="15"/>
  <c r="K43" i="15"/>
  <c r="H43" i="15"/>
  <c r="E43" i="15"/>
  <c r="B43" i="15"/>
  <c r="R79" i="1"/>
  <c r="R207" i="7"/>
  <c r="R206" i="7"/>
  <c r="N207" i="7"/>
  <c r="N206" i="7"/>
  <c r="L207" i="7"/>
  <c r="L206" i="7"/>
  <c r="R147" i="1" l="1"/>
  <c r="R118" i="1"/>
  <c r="B57" i="1"/>
  <c r="O22" i="1"/>
  <c r="O21" i="1"/>
  <c r="O20" i="1"/>
  <c r="O19" i="1"/>
  <c r="O17" i="1"/>
  <c r="O16" i="1"/>
  <c r="O15" i="1"/>
  <c r="O12" i="1"/>
  <c r="O11" i="1"/>
  <c r="O10" i="1"/>
  <c r="O9" i="1"/>
  <c r="O8" i="1"/>
  <c r="O7" i="1"/>
  <c r="P101" i="1" l="1"/>
  <c r="P102" i="1"/>
  <c r="C57" i="1"/>
  <c r="B96" i="1"/>
  <c r="B125" i="1"/>
  <c r="C124" i="7"/>
  <c r="D124" i="7" s="1"/>
  <c r="Z10" i="1"/>
  <c r="AF7" i="1"/>
  <c r="AC6" i="1"/>
  <c r="P4" i="1" s="1"/>
  <c r="C96" i="1" l="1"/>
  <c r="C125" i="1"/>
  <c r="D4" i="18"/>
  <c r="E4" i="18"/>
  <c r="I4" i="18"/>
  <c r="G5" i="18"/>
  <c r="E6" i="18"/>
  <c r="I6" i="18"/>
  <c r="G7" i="18"/>
  <c r="E8" i="18"/>
  <c r="I8" i="18"/>
  <c r="G9" i="18"/>
  <c r="E10" i="18"/>
  <c r="I10" i="18"/>
  <c r="G11" i="18"/>
  <c r="E12" i="18"/>
  <c r="I12" i="18"/>
  <c r="G13" i="18"/>
  <c r="E14" i="18"/>
  <c r="I14" i="18"/>
  <c r="G15" i="18"/>
  <c r="E16" i="18"/>
  <c r="I16" i="18"/>
  <c r="G17" i="18"/>
  <c r="E18" i="18"/>
  <c r="I18" i="18"/>
  <c r="G19" i="18"/>
  <c r="E20" i="18"/>
  <c r="I20" i="18"/>
  <c r="G21" i="18"/>
  <c r="E22" i="18"/>
  <c r="I22" i="18"/>
  <c r="G23" i="18"/>
  <c r="E24" i="18"/>
  <c r="I24" i="18"/>
  <c r="G25" i="18"/>
  <c r="E26" i="18"/>
  <c r="I26" i="18"/>
  <c r="G27" i="18"/>
  <c r="E28" i="18"/>
  <c r="I28" i="18"/>
  <c r="G29" i="18"/>
  <c r="E30" i="18"/>
  <c r="I30" i="18"/>
  <c r="G31" i="18"/>
  <c r="E32" i="18"/>
  <c r="I32" i="18"/>
  <c r="G33" i="18"/>
  <c r="E34" i="18"/>
  <c r="I34" i="18"/>
  <c r="G35" i="18"/>
  <c r="E36" i="18"/>
  <c r="I36" i="18"/>
  <c r="G37" i="18"/>
  <c r="E38" i="18"/>
  <c r="I38" i="18"/>
  <c r="G39" i="18"/>
  <c r="E40" i="18"/>
  <c r="I40" i="18"/>
  <c r="G41" i="18"/>
  <c r="E42" i="18"/>
  <c r="I42" i="18"/>
  <c r="G43" i="18"/>
  <c r="E44" i="18"/>
  <c r="I44" i="18"/>
  <c r="G45" i="18"/>
  <c r="E46" i="18"/>
  <c r="I46" i="18"/>
  <c r="G47" i="18"/>
  <c r="E48" i="18"/>
  <c r="I48" i="18"/>
  <c r="G49" i="18"/>
  <c r="E50" i="18"/>
  <c r="I50" i="18"/>
  <c r="G51" i="18"/>
  <c r="E52" i="18"/>
  <c r="I52" i="18"/>
  <c r="G53" i="18"/>
  <c r="E54" i="18"/>
  <c r="I54" i="18"/>
  <c r="G55" i="18"/>
  <c r="E56" i="18"/>
  <c r="I56" i="18"/>
  <c r="G57" i="18"/>
  <c r="E58" i="18"/>
  <c r="I58" i="18"/>
  <c r="G59" i="18"/>
  <c r="E60" i="18"/>
  <c r="F4" i="18"/>
  <c r="H4" i="18"/>
  <c r="H5" i="18"/>
  <c r="G6" i="18"/>
  <c r="F7" i="18"/>
  <c r="F8" i="18"/>
  <c r="E9" i="18"/>
  <c r="D10" i="18"/>
  <c r="D11" i="18"/>
  <c r="I11" i="18"/>
  <c r="H12" i="18"/>
  <c r="H13" i="18"/>
  <c r="G14" i="18"/>
  <c r="F15" i="18"/>
  <c r="F16" i="18"/>
  <c r="E17" i="18"/>
  <c r="D18" i="18"/>
  <c r="D19" i="18"/>
  <c r="I19" i="18"/>
  <c r="H20" i="18"/>
  <c r="H21" i="18"/>
  <c r="G22" i="18"/>
  <c r="F23" i="18"/>
  <c r="F24" i="18"/>
  <c r="E25" i="18"/>
  <c r="D26" i="18"/>
  <c r="D27" i="18"/>
  <c r="I27" i="18"/>
  <c r="H28" i="18"/>
  <c r="H29" i="18"/>
  <c r="G30" i="18"/>
  <c r="F31" i="18"/>
  <c r="F32" i="18"/>
  <c r="E33" i="18"/>
  <c r="D34" i="18"/>
  <c r="D35" i="18"/>
  <c r="I35" i="18"/>
  <c r="H36" i="18"/>
  <c r="H37" i="18"/>
  <c r="G38" i="18"/>
  <c r="F39" i="18"/>
  <c r="F40" i="18"/>
  <c r="E41" i="18"/>
  <c r="D42" i="18"/>
  <c r="D43" i="18"/>
  <c r="I43" i="18"/>
  <c r="H44" i="18"/>
  <c r="H45" i="18"/>
  <c r="G46" i="18"/>
  <c r="F47" i="18"/>
  <c r="F48" i="18"/>
  <c r="E49" i="18"/>
  <c r="D50" i="18"/>
  <c r="D51" i="18"/>
  <c r="I51" i="18"/>
  <c r="H52" i="18"/>
  <c r="H53" i="18"/>
  <c r="G54" i="18"/>
  <c r="F55" i="18"/>
  <c r="F56" i="18"/>
  <c r="E57" i="18"/>
  <c r="D58" i="18"/>
  <c r="D59" i="18"/>
  <c r="I59" i="18"/>
  <c r="H60" i="18"/>
  <c r="F61" i="18"/>
  <c r="D62" i="18"/>
  <c r="H62" i="18"/>
  <c r="F63" i="18"/>
  <c r="D64" i="18"/>
  <c r="H64" i="18"/>
  <c r="F65" i="18"/>
  <c r="D66" i="18"/>
  <c r="H66" i="18"/>
  <c r="F67" i="18"/>
  <c r="D68" i="18"/>
  <c r="H68" i="18"/>
  <c r="F69" i="18"/>
  <c r="D70" i="18"/>
  <c r="H70" i="18"/>
  <c r="F71" i="18"/>
  <c r="D72" i="18"/>
  <c r="H72" i="18"/>
  <c r="F73" i="18"/>
  <c r="D74" i="18"/>
  <c r="H74" i="18"/>
  <c r="F75" i="18"/>
  <c r="D76" i="18"/>
  <c r="H76" i="18"/>
  <c r="F77" i="18"/>
  <c r="D78" i="18"/>
  <c r="H78" i="18"/>
  <c r="F79" i="18"/>
  <c r="D80" i="18"/>
  <c r="H80" i="18"/>
  <c r="F81" i="18"/>
  <c r="D82" i="18"/>
  <c r="H82" i="18"/>
  <c r="F83" i="18"/>
  <c r="D5" i="18"/>
  <c r="I5" i="18"/>
  <c r="H6" i="18"/>
  <c r="H7" i="18"/>
  <c r="G8" i="18"/>
  <c r="F9" i="18"/>
  <c r="F10" i="18"/>
  <c r="E11" i="18"/>
  <c r="D12" i="18"/>
  <c r="D13" i="18"/>
  <c r="I13" i="18"/>
  <c r="H14" i="18"/>
  <c r="H15" i="18"/>
  <c r="G16" i="18"/>
  <c r="F17" i="18"/>
  <c r="F18" i="18"/>
  <c r="E19" i="18"/>
  <c r="D20" i="18"/>
  <c r="D21" i="18"/>
  <c r="I21" i="18"/>
  <c r="H22" i="18"/>
  <c r="H23" i="18"/>
  <c r="G24" i="18"/>
  <c r="F25" i="18"/>
  <c r="F26" i="18"/>
  <c r="E27" i="18"/>
  <c r="D28" i="18"/>
  <c r="D29" i="18"/>
  <c r="I29" i="18"/>
  <c r="H30" i="18"/>
  <c r="H31" i="18"/>
  <c r="G32" i="18"/>
  <c r="F33" i="18"/>
  <c r="F34" i="18"/>
  <c r="E35" i="18"/>
  <c r="D36" i="18"/>
  <c r="D37" i="18"/>
  <c r="I37" i="18"/>
  <c r="H38" i="18"/>
  <c r="H39" i="18"/>
  <c r="G40" i="18"/>
  <c r="F41" i="18"/>
  <c r="F42" i="18"/>
  <c r="E43" i="18"/>
  <c r="D44" i="18"/>
  <c r="D45" i="18"/>
  <c r="I45" i="18"/>
  <c r="H46" i="18"/>
  <c r="H47" i="18"/>
  <c r="G48" i="18"/>
  <c r="F49" i="18"/>
  <c r="F50" i="18"/>
  <c r="E51" i="18"/>
  <c r="D52" i="18"/>
  <c r="D53" i="18"/>
  <c r="I53" i="18"/>
  <c r="H54" i="18"/>
  <c r="H55" i="18"/>
  <c r="G56" i="18"/>
  <c r="F57" i="18"/>
  <c r="F58" i="18"/>
  <c r="E59" i="18"/>
  <c r="D60" i="18"/>
  <c r="I60" i="18"/>
  <c r="G61" i="18"/>
  <c r="E62" i="18"/>
  <c r="I62" i="18"/>
  <c r="G63" i="18"/>
  <c r="E64" i="18"/>
  <c r="I64" i="18"/>
  <c r="G65" i="18"/>
  <c r="E66" i="18"/>
  <c r="I66" i="18"/>
  <c r="G67" i="18"/>
  <c r="E68" i="18"/>
  <c r="I68" i="18"/>
  <c r="G69" i="18"/>
  <c r="E70" i="18"/>
  <c r="I70" i="18"/>
  <c r="G71" i="18"/>
  <c r="E72" i="18"/>
  <c r="I72" i="18"/>
  <c r="G73" i="18"/>
  <c r="E74" i="18"/>
  <c r="I74" i="18"/>
  <c r="G4" i="18"/>
  <c r="F6" i="18"/>
  <c r="D8" i="18"/>
  <c r="F5" i="18"/>
  <c r="E7" i="18"/>
  <c r="D9" i="18"/>
  <c r="H10" i="18"/>
  <c r="G12" i="18"/>
  <c r="F14" i="18"/>
  <c r="D16" i="18"/>
  <c r="I17" i="18"/>
  <c r="H19" i="18"/>
  <c r="F21" i="18"/>
  <c r="E23" i="18"/>
  <c r="D25" i="18"/>
  <c r="H26" i="18"/>
  <c r="G28" i="18"/>
  <c r="F30" i="18"/>
  <c r="D32" i="18"/>
  <c r="I33" i="18"/>
  <c r="H35" i="18"/>
  <c r="F37" i="18"/>
  <c r="E39" i="18"/>
  <c r="D41" i="18"/>
  <c r="H42" i="18"/>
  <c r="G44" i="18"/>
  <c r="F46" i="18"/>
  <c r="D48" i="18"/>
  <c r="I49" i="18"/>
  <c r="H51" i="18"/>
  <c r="F53" i="18"/>
  <c r="E55" i="18"/>
  <c r="D57" i="18"/>
  <c r="H58" i="18"/>
  <c r="G60" i="18"/>
  <c r="I61" i="18"/>
  <c r="E63" i="18"/>
  <c r="G64" i="18"/>
  <c r="I65" i="18"/>
  <c r="E67" i="18"/>
  <c r="G68" i="18"/>
  <c r="I69" i="18"/>
  <c r="E71" i="18"/>
  <c r="G72" i="18"/>
  <c r="I73" i="18"/>
  <c r="E75" i="18"/>
  <c r="E76" i="18"/>
  <c r="D77" i="18"/>
  <c r="I77" i="18"/>
  <c r="I78" i="18"/>
  <c r="H79" i="18"/>
  <c r="G80" i="18"/>
  <c r="G81" i="18"/>
  <c r="F82" i="18"/>
  <c r="E83" i="18"/>
  <c r="D84" i="18"/>
  <c r="H84" i="18"/>
  <c r="F85" i="18"/>
  <c r="D86" i="18"/>
  <c r="H86" i="18"/>
  <c r="F87" i="18"/>
  <c r="D88" i="18"/>
  <c r="H88" i="18"/>
  <c r="F89" i="18"/>
  <c r="D90" i="18"/>
  <c r="H90" i="18"/>
  <c r="F91" i="18"/>
  <c r="D92" i="18"/>
  <c r="H92" i="18"/>
  <c r="F93" i="18"/>
  <c r="D94" i="18"/>
  <c r="H94" i="18"/>
  <c r="F95" i="18"/>
  <c r="D96" i="18"/>
  <c r="H96" i="18"/>
  <c r="F97" i="18"/>
  <c r="D98" i="18"/>
  <c r="H98" i="18"/>
  <c r="F99" i="18"/>
  <c r="D100" i="18"/>
  <c r="H100" i="18"/>
  <c r="F101" i="18"/>
  <c r="D102" i="18"/>
  <c r="H102" i="18"/>
  <c r="F103" i="18"/>
  <c r="D104" i="18"/>
  <c r="H104" i="18"/>
  <c r="F105" i="18"/>
  <c r="D106" i="18"/>
  <c r="H106" i="18"/>
  <c r="F107" i="18"/>
  <c r="D108" i="18"/>
  <c r="H108" i="18"/>
  <c r="F109" i="18"/>
  <c r="D110" i="18"/>
  <c r="H110" i="18"/>
  <c r="F111" i="18"/>
  <c r="D112" i="18"/>
  <c r="H112" i="18"/>
  <c r="F113" i="18"/>
  <c r="D114" i="18"/>
  <c r="H114" i="18"/>
  <c r="F115" i="18"/>
  <c r="D116" i="18"/>
  <c r="H116" i="18"/>
  <c r="F117" i="18"/>
  <c r="D118" i="18"/>
  <c r="H118" i="18"/>
  <c r="F119" i="18"/>
  <c r="D120" i="18"/>
  <c r="H120" i="18"/>
  <c r="F121" i="18"/>
  <c r="D122" i="18"/>
  <c r="H122" i="18"/>
  <c r="F123" i="18"/>
  <c r="D124" i="18"/>
  <c r="H124" i="18"/>
  <c r="F125" i="18"/>
  <c r="D126" i="18"/>
  <c r="H126" i="18"/>
  <c r="F127" i="18"/>
  <c r="D128" i="18"/>
  <c r="H128" i="18"/>
  <c r="F129" i="18"/>
  <c r="D130" i="18"/>
  <c r="H130" i="18"/>
  <c r="F131" i="18"/>
  <c r="D132" i="18"/>
  <c r="H132" i="18"/>
  <c r="F133" i="18"/>
  <c r="D134" i="18"/>
  <c r="H134" i="18"/>
  <c r="F135" i="18"/>
  <c r="D136" i="18"/>
  <c r="H136" i="18"/>
  <c r="F137" i="18"/>
  <c r="D138" i="18"/>
  <c r="H138" i="18"/>
  <c r="F139" i="18"/>
  <c r="D140" i="18"/>
  <c r="H140" i="18"/>
  <c r="F141" i="18"/>
  <c r="D142" i="18"/>
  <c r="H142" i="18"/>
  <c r="F143" i="18"/>
  <c r="D144" i="18"/>
  <c r="H144" i="18"/>
  <c r="F145" i="18"/>
  <c r="D146" i="18"/>
  <c r="H146" i="18"/>
  <c r="F147" i="18"/>
  <c r="D148" i="18"/>
  <c r="H148" i="18"/>
  <c r="F149" i="18"/>
  <c r="D150" i="18"/>
  <c r="H150" i="18"/>
  <c r="F151" i="18"/>
  <c r="D152" i="18"/>
  <c r="H152" i="18"/>
  <c r="F153" i="18"/>
  <c r="D154" i="18"/>
  <c r="H154" i="18"/>
  <c r="F155" i="18"/>
  <c r="D156" i="18"/>
  <c r="H156" i="18"/>
  <c r="F157" i="18"/>
  <c r="D158" i="18"/>
  <c r="H158" i="18"/>
  <c r="F159" i="18"/>
  <c r="D160" i="18"/>
  <c r="H160" i="18"/>
  <c r="F161" i="18"/>
  <c r="D162" i="18"/>
  <c r="D6" i="18"/>
  <c r="H9" i="18"/>
  <c r="H11" i="18"/>
  <c r="D14" i="18"/>
  <c r="H16" i="18"/>
  <c r="H18" i="18"/>
  <c r="E21" i="18"/>
  <c r="I23" i="18"/>
  <c r="I25" i="18"/>
  <c r="F28" i="18"/>
  <c r="D31" i="18"/>
  <c r="D33" i="18"/>
  <c r="F35" i="18"/>
  <c r="D38" i="18"/>
  <c r="D40" i="18"/>
  <c r="G42" i="18"/>
  <c r="E45" i="18"/>
  <c r="E47" i="18"/>
  <c r="H49" i="18"/>
  <c r="F52" i="18"/>
  <c r="F54" i="18"/>
  <c r="H56" i="18"/>
  <c r="F59" i="18"/>
  <c r="E61" i="18"/>
  <c r="D63" i="18"/>
  <c r="D65" i="18"/>
  <c r="G66" i="18"/>
  <c r="F68" i="18"/>
  <c r="F70" i="18"/>
  <c r="I71" i="18"/>
  <c r="H73" i="18"/>
  <c r="G75" i="18"/>
  <c r="G76" i="18"/>
  <c r="H77" i="18"/>
  <c r="D79" i="18"/>
  <c r="E80" i="18"/>
  <c r="E81" i="18"/>
  <c r="G82" i="18"/>
  <c r="H83" i="18"/>
  <c r="G84" i="18"/>
  <c r="D7" i="18"/>
  <c r="I9" i="18"/>
  <c r="F12" i="18"/>
  <c r="D15" i="18"/>
  <c r="D17" i="18"/>
  <c r="F19" i="18"/>
  <c r="D22" i="18"/>
  <c r="D24" i="18"/>
  <c r="G26" i="18"/>
  <c r="E29" i="18"/>
  <c r="E31" i="18"/>
  <c r="H33" i="18"/>
  <c r="F36" i="18"/>
  <c r="F38" i="18"/>
  <c r="H40" i="18"/>
  <c r="F43" i="18"/>
  <c r="F45" i="18"/>
  <c r="I47" i="18"/>
  <c r="G50" i="18"/>
  <c r="G52" i="18"/>
  <c r="D55" i="18"/>
  <c r="H57" i="18"/>
  <c r="H59" i="18"/>
  <c r="H61" i="18"/>
  <c r="H63" i="18"/>
  <c r="E65" i="18"/>
  <c r="D67" i="18"/>
  <c r="D69" i="18"/>
  <c r="G70" i="18"/>
  <c r="F72" i="18"/>
  <c r="F74" i="18"/>
  <c r="H75" i="18"/>
  <c r="I76" i="18"/>
  <c r="E78" i="18"/>
  <c r="E79" i="18"/>
  <c r="F80" i="18"/>
  <c r="H81" i="18"/>
  <c r="I82" i="18"/>
  <c r="I83" i="18"/>
  <c r="I84" i="18"/>
  <c r="H85" i="18"/>
  <c r="G86" i="18"/>
  <c r="G87" i="18"/>
  <c r="F88" i="18"/>
  <c r="E89" i="18"/>
  <c r="E90" i="18"/>
  <c r="D91" i="18"/>
  <c r="I91" i="18"/>
  <c r="I92" i="18"/>
  <c r="H93" i="18"/>
  <c r="G94" i="18"/>
  <c r="G95" i="18"/>
  <c r="F96" i="18"/>
  <c r="E97" i="18"/>
  <c r="E98" i="18"/>
  <c r="D99" i="18"/>
  <c r="I99" i="18"/>
  <c r="I100" i="18"/>
  <c r="H101" i="18"/>
  <c r="G102" i="18"/>
  <c r="G103" i="18"/>
  <c r="F104" i="18"/>
  <c r="E105" i="18"/>
  <c r="E106" i="18"/>
  <c r="D107" i="18"/>
  <c r="I107" i="18"/>
  <c r="I108" i="18"/>
  <c r="H109" i="18"/>
  <c r="G110" i="18"/>
  <c r="G111" i="18"/>
  <c r="F112" i="18"/>
  <c r="E113" i="18"/>
  <c r="E114" i="18"/>
  <c r="D115" i="18"/>
  <c r="I115" i="18"/>
  <c r="I116" i="18"/>
  <c r="H117" i="18"/>
  <c r="G118" i="18"/>
  <c r="G119" i="18"/>
  <c r="F120" i="18"/>
  <c r="E121" i="18"/>
  <c r="E122" i="18"/>
  <c r="D123" i="18"/>
  <c r="I123" i="18"/>
  <c r="I124" i="18"/>
  <c r="H125" i="18"/>
  <c r="G126" i="18"/>
  <c r="G127" i="18"/>
  <c r="F128" i="18"/>
  <c r="E129" i="18"/>
  <c r="E130" i="18"/>
  <c r="D131" i="18"/>
  <c r="I131" i="18"/>
  <c r="I132" i="18"/>
  <c r="H133" i="18"/>
  <c r="G134" i="18"/>
  <c r="G135" i="18"/>
  <c r="F136" i="18"/>
  <c r="E137" i="18"/>
  <c r="E138" i="18"/>
  <c r="D139" i="18"/>
  <c r="I139" i="18"/>
  <c r="I140" i="18"/>
  <c r="H141" i="18"/>
  <c r="G142" i="18"/>
  <c r="G143" i="18"/>
  <c r="F144" i="18"/>
  <c r="E145" i="18"/>
  <c r="E146" i="18"/>
  <c r="D147" i="18"/>
  <c r="I147" i="18"/>
  <c r="I148" i="18"/>
  <c r="H149" i="18"/>
  <c r="G150" i="18"/>
  <c r="G151" i="18"/>
  <c r="F152" i="18"/>
  <c r="E153" i="18"/>
  <c r="E154" i="18"/>
  <c r="D155" i="18"/>
  <c r="I155" i="18"/>
  <c r="I156" i="18"/>
  <c r="H157" i="18"/>
  <c r="G158" i="18"/>
  <c r="G159" i="18"/>
  <c r="F160" i="18"/>
  <c r="E161" i="18"/>
  <c r="E162" i="18"/>
  <c r="I162" i="18"/>
  <c r="G163" i="18"/>
  <c r="E164" i="18"/>
  <c r="I164" i="18"/>
  <c r="G165" i="18"/>
  <c r="E166" i="18"/>
  <c r="I166" i="18"/>
  <c r="G167" i="18"/>
  <c r="E168" i="18"/>
  <c r="I168" i="18"/>
  <c r="G169" i="18"/>
  <c r="E170" i="18"/>
  <c r="I170" i="18"/>
  <c r="G171" i="18"/>
  <c r="E172" i="18"/>
  <c r="I172" i="18"/>
  <c r="G173" i="18"/>
  <c r="E174" i="18"/>
  <c r="I174" i="18"/>
  <c r="G175" i="18"/>
  <c r="E176" i="18"/>
  <c r="I176" i="18"/>
  <c r="G177" i="18"/>
  <c r="E178" i="18"/>
  <c r="I178" i="18"/>
  <c r="G179" i="18"/>
  <c r="E180" i="18"/>
  <c r="I180" i="18"/>
  <c r="G181" i="18"/>
  <c r="E182" i="18"/>
  <c r="I182" i="18"/>
  <c r="G183" i="18"/>
  <c r="E184" i="18"/>
  <c r="I184" i="18"/>
  <c r="G185" i="18"/>
  <c r="E186" i="18"/>
  <c r="I186" i="18"/>
  <c r="G187" i="18"/>
  <c r="E188" i="18"/>
  <c r="I188" i="18"/>
  <c r="G189" i="18"/>
  <c r="E190" i="18"/>
  <c r="I190" i="18"/>
  <c r="G191" i="18"/>
  <c r="E192" i="18"/>
  <c r="I192" i="18"/>
  <c r="G193" i="18"/>
  <c r="E194" i="18"/>
  <c r="I194" i="18"/>
  <c r="G195" i="18"/>
  <c r="E196" i="18"/>
  <c r="I196" i="18"/>
  <c r="G197" i="18"/>
  <c r="E198" i="18"/>
  <c r="I198" i="18"/>
  <c r="G199" i="18"/>
  <c r="E200" i="18"/>
  <c r="I200" i="18"/>
  <c r="G201" i="18"/>
  <c r="E202" i="18"/>
  <c r="I202" i="18"/>
  <c r="F3" i="18"/>
  <c r="B1" i="10"/>
  <c r="I7" i="18"/>
  <c r="G10" i="18"/>
  <c r="E13" i="18"/>
  <c r="E15" i="18"/>
  <c r="H17" i="18"/>
  <c r="F20" i="18"/>
  <c r="F22" i="18"/>
  <c r="H24" i="18"/>
  <c r="F27" i="18"/>
  <c r="F29" i="18"/>
  <c r="I31" i="18"/>
  <c r="G34" i="18"/>
  <c r="G36" i="18"/>
  <c r="D39" i="18"/>
  <c r="H41" i="18"/>
  <c r="H43" i="18"/>
  <c r="D46" i="18"/>
  <c r="H48" i="18"/>
  <c r="H50" i="18"/>
  <c r="E53" i="18"/>
  <c r="I55" i="18"/>
  <c r="I57" i="18"/>
  <c r="F60" i="18"/>
  <c r="F62" i="18"/>
  <c r="I63" i="18"/>
  <c r="H65" i="18"/>
  <c r="H67" i="18"/>
  <c r="E69" i="18"/>
  <c r="D71" i="18"/>
  <c r="D73" i="18"/>
  <c r="G74" i="18"/>
  <c r="I75" i="18"/>
  <c r="E77" i="18"/>
  <c r="F78" i="18"/>
  <c r="G79" i="18"/>
  <c r="I80" i="18"/>
  <c r="I81" i="18"/>
  <c r="D83" i="18"/>
  <c r="E84" i="18"/>
  <c r="D85" i="18"/>
  <c r="I85" i="18"/>
  <c r="I86" i="18"/>
  <c r="H87" i="18"/>
  <c r="G88" i="18"/>
  <c r="G89" i="18"/>
  <c r="F90" i="18"/>
  <c r="E91" i="18"/>
  <c r="E92" i="18"/>
  <c r="D93" i="18"/>
  <c r="I93" i="18"/>
  <c r="I94" i="18"/>
  <c r="H95" i="18"/>
  <c r="G96" i="18"/>
  <c r="G97" i="18"/>
  <c r="F98" i="18"/>
  <c r="E99" i="18"/>
  <c r="E100" i="18"/>
  <c r="D101" i="18"/>
  <c r="I101" i="18"/>
  <c r="I102" i="18"/>
  <c r="H103" i="18"/>
  <c r="G104" i="18"/>
  <c r="G105" i="18"/>
  <c r="F106" i="18"/>
  <c r="E107" i="18"/>
  <c r="E108" i="18"/>
  <c r="D109" i="18"/>
  <c r="I109" i="18"/>
  <c r="I110" i="18"/>
  <c r="H111" i="18"/>
  <c r="G112" i="18"/>
  <c r="G113" i="18"/>
  <c r="F114" i="18"/>
  <c r="E115" i="18"/>
  <c r="E116" i="18"/>
  <c r="D117" i="18"/>
  <c r="I117" i="18"/>
  <c r="I118" i="18"/>
  <c r="H119" i="18"/>
  <c r="G120" i="18"/>
  <c r="G121" i="18"/>
  <c r="F122" i="18"/>
  <c r="E123" i="18"/>
  <c r="E124" i="18"/>
  <c r="D125" i="18"/>
  <c r="I125" i="18"/>
  <c r="I126" i="18"/>
  <c r="H127" i="18"/>
  <c r="G128" i="18"/>
  <c r="G129" i="18"/>
  <c r="F130" i="18"/>
  <c r="E131" i="18"/>
  <c r="E132" i="18"/>
  <c r="D133" i="18"/>
  <c r="I133" i="18"/>
  <c r="I134" i="18"/>
  <c r="H135" i="18"/>
  <c r="G136" i="18"/>
  <c r="G137" i="18"/>
  <c r="F138" i="18"/>
  <c r="E139" i="18"/>
  <c r="E140" i="18"/>
  <c r="D141" i="18"/>
  <c r="I141" i="18"/>
  <c r="I142" i="18"/>
  <c r="H143" i="18"/>
  <c r="G144" i="18"/>
  <c r="G145" i="18"/>
  <c r="F146" i="18"/>
  <c r="E147" i="18"/>
  <c r="E148" i="18"/>
  <c r="D149" i="18"/>
  <c r="I149" i="18"/>
  <c r="I150" i="18"/>
  <c r="H151" i="18"/>
  <c r="G152" i="18"/>
  <c r="G153" i="18"/>
  <c r="F154" i="18"/>
  <c r="E155" i="18"/>
  <c r="E156" i="18"/>
  <c r="D157" i="18"/>
  <c r="I157" i="18"/>
  <c r="I158" i="18"/>
  <c r="H159" i="18"/>
  <c r="G160" i="18"/>
  <c r="G161" i="18"/>
  <c r="F162" i="18"/>
  <c r="D163" i="18"/>
  <c r="H163" i="18"/>
  <c r="F164" i="18"/>
  <c r="D165" i="18"/>
  <c r="H165" i="18"/>
  <c r="F166" i="18"/>
  <c r="D167" i="18"/>
  <c r="H167" i="18"/>
  <c r="F168" i="18"/>
  <c r="D169" i="18"/>
  <c r="H169" i="18"/>
  <c r="F170" i="18"/>
  <c r="D171" i="18"/>
  <c r="H171" i="18"/>
  <c r="F172" i="18"/>
  <c r="D173" i="18"/>
  <c r="H173" i="18"/>
  <c r="F174" i="18"/>
  <c r="D175" i="18"/>
  <c r="H175" i="18"/>
  <c r="F176" i="18"/>
  <c r="D177" i="18"/>
  <c r="H177" i="18"/>
  <c r="F178" i="18"/>
  <c r="I15" i="18"/>
  <c r="E94" i="18"/>
  <c r="D119" i="18"/>
  <c r="I127" i="18"/>
  <c r="G131" i="18"/>
  <c r="D135" i="18"/>
  <c r="F140" i="18"/>
  <c r="I143" i="18"/>
  <c r="G147" i="18"/>
  <c r="I152" i="18"/>
  <c r="F156" i="18"/>
  <c r="H161" i="18"/>
  <c r="G164" i="18"/>
  <c r="G168" i="18"/>
  <c r="G172" i="18"/>
  <c r="E175" i="18"/>
  <c r="I177" i="18"/>
  <c r="H180" i="18"/>
  <c r="G182" i="18"/>
  <c r="F184" i="18"/>
  <c r="D186" i="18"/>
  <c r="I187" i="18"/>
  <c r="H189" i="18"/>
  <c r="E193" i="18"/>
  <c r="D195" i="18"/>
  <c r="H196" i="18"/>
  <c r="G198" i="18"/>
  <c r="F200" i="18"/>
  <c r="D202" i="18"/>
  <c r="D3" i="18"/>
  <c r="G18" i="18"/>
  <c r="E82" i="18"/>
  <c r="I90" i="18"/>
  <c r="F94" i="18"/>
  <c r="H99" i="18"/>
  <c r="G101" i="18"/>
  <c r="D105" i="18"/>
  <c r="F110" i="18"/>
  <c r="G117" i="18"/>
  <c r="I122" i="18"/>
  <c r="F126" i="18"/>
  <c r="H131" i="18"/>
  <c r="D137" i="18"/>
  <c r="F142" i="18"/>
  <c r="G149" i="18"/>
  <c r="I154" i="18"/>
  <c r="E160" i="18"/>
  <c r="F163" i="18"/>
  <c r="F167" i="18"/>
  <c r="F171" i="18"/>
  <c r="H176" i="18"/>
  <c r="D181" i="18"/>
  <c r="H183" i="18"/>
  <c r="F186" i="18"/>
  <c r="D189" i="18"/>
  <c r="H191" i="18"/>
  <c r="F194" i="18"/>
  <c r="D197" i="18"/>
  <c r="H199" i="18"/>
  <c r="F201" i="18"/>
  <c r="M1" i="10"/>
  <c r="F11" i="18"/>
  <c r="G20" i="18"/>
  <c r="D30" i="18"/>
  <c r="I39" i="18"/>
  <c r="D49" i="18"/>
  <c r="G58" i="18"/>
  <c r="F66" i="18"/>
  <c r="E73" i="18"/>
  <c r="G78" i="18"/>
  <c r="G83" i="18"/>
  <c r="E86" i="18"/>
  <c r="I87" i="18"/>
  <c r="H89" i="18"/>
  <c r="G91" i="18"/>
  <c r="E93" i="18"/>
  <c r="D95" i="18"/>
  <c r="I96" i="18"/>
  <c r="G98" i="18"/>
  <c r="F100" i="18"/>
  <c r="E102" i="18"/>
  <c r="I103" i="18"/>
  <c r="H105" i="18"/>
  <c r="G107" i="18"/>
  <c r="E109" i="18"/>
  <c r="D111" i="18"/>
  <c r="I112" i="18"/>
  <c r="G114" i="18"/>
  <c r="F116" i="18"/>
  <c r="E118" i="18"/>
  <c r="I119" i="18"/>
  <c r="H121" i="18"/>
  <c r="G123" i="18"/>
  <c r="E125" i="18"/>
  <c r="D127" i="18"/>
  <c r="I128" i="18"/>
  <c r="G130" i="18"/>
  <c r="F132" i="18"/>
  <c r="E134" i="18"/>
  <c r="I135" i="18"/>
  <c r="H137" i="18"/>
  <c r="G139" i="18"/>
  <c r="E141" i="18"/>
  <c r="D143" i="18"/>
  <c r="I144" i="18"/>
  <c r="G146" i="18"/>
  <c r="F148" i="18"/>
  <c r="E150" i="18"/>
  <c r="I151" i="18"/>
  <c r="H153" i="18"/>
  <c r="G155" i="18"/>
  <c r="E157" i="18"/>
  <c r="D159" i="18"/>
  <c r="I160" i="18"/>
  <c r="G162" i="18"/>
  <c r="I163" i="18"/>
  <c r="E165" i="18"/>
  <c r="G166" i="18"/>
  <c r="I167" i="18"/>
  <c r="E169" i="18"/>
  <c r="G170" i="18"/>
  <c r="I171" i="18"/>
  <c r="E173" i="18"/>
  <c r="G174" i="18"/>
  <c r="I175" i="18"/>
  <c r="E177" i="18"/>
  <c r="G178" i="18"/>
  <c r="F179" i="18"/>
  <c r="F180" i="18"/>
  <c r="E181" i="18"/>
  <c r="D182" i="18"/>
  <c r="D183" i="18"/>
  <c r="I183" i="18"/>
  <c r="H184" i="18"/>
  <c r="H185" i="18"/>
  <c r="G186" i="18"/>
  <c r="F187" i="18"/>
  <c r="F188" i="18"/>
  <c r="E189" i="18"/>
  <c r="D190" i="18"/>
  <c r="D191" i="18"/>
  <c r="I191" i="18"/>
  <c r="H192" i="18"/>
  <c r="H193" i="18"/>
  <c r="G194" i="18"/>
  <c r="F195" i="18"/>
  <c r="F196" i="18"/>
  <c r="E197" i="18"/>
  <c r="D198" i="18"/>
  <c r="D199" i="18"/>
  <c r="I199" i="18"/>
  <c r="H200" i="18"/>
  <c r="H201" i="18"/>
  <c r="G202" i="18"/>
  <c r="G3" i="18"/>
  <c r="F13" i="18"/>
  <c r="D23" i="18"/>
  <c r="H32" i="18"/>
  <c r="I41" i="18"/>
  <c r="F51" i="18"/>
  <c r="D61" i="18"/>
  <c r="I67" i="18"/>
  <c r="D75" i="18"/>
  <c r="I79" i="18"/>
  <c r="F84" i="18"/>
  <c r="F86" i="18"/>
  <c r="E88" i="18"/>
  <c r="I89" i="18"/>
  <c r="H91" i="18"/>
  <c r="G93" i="18"/>
  <c r="E95" i="18"/>
  <c r="D97" i="18"/>
  <c r="I98" i="18"/>
  <c r="G100" i="18"/>
  <c r="F102" i="18"/>
  <c r="E104" i="18"/>
  <c r="I105" i="18"/>
  <c r="H107" i="18"/>
  <c r="G109" i="18"/>
  <c r="E111" i="18"/>
  <c r="D113" i="18"/>
  <c r="I114" i="18"/>
  <c r="G116" i="18"/>
  <c r="F118" i="18"/>
  <c r="E120" i="18"/>
  <c r="I121" i="18"/>
  <c r="H123" i="18"/>
  <c r="G125" i="18"/>
  <c r="E127" i="18"/>
  <c r="D129" i="18"/>
  <c r="I130" i="18"/>
  <c r="G132" i="18"/>
  <c r="F134" i="18"/>
  <c r="E136" i="18"/>
  <c r="I137" i="18"/>
  <c r="H139" i="18"/>
  <c r="G141" i="18"/>
  <c r="E143" i="18"/>
  <c r="D145" i="18"/>
  <c r="I146" i="18"/>
  <c r="G148" i="18"/>
  <c r="F150" i="18"/>
  <c r="E152" i="18"/>
  <c r="I153" i="18"/>
  <c r="H155" i="18"/>
  <c r="G157" i="18"/>
  <c r="E159" i="18"/>
  <c r="D161" i="18"/>
  <c r="H162" i="18"/>
  <c r="D164" i="18"/>
  <c r="F165" i="18"/>
  <c r="H166" i="18"/>
  <c r="D168" i="18"/>
  <c r="F169" i="18"/>
  <c r="H170" i="18"/>
  <c r="D172" i="18"/>
  <c r="F173" i="18"/>
  <c r="H174" i="18"/>
  <c r="D176" i="18"/>
  <c r="F177" i="18"/>
  <c r="H178" i="18"/>
  <c r="H179" i="18"/>
  <c r="G180" i="18"/>
  <c r="F181" i="18"/>
  <c r="F182" i="18"/>
  <c r="E183" i="18"/>
  <c r="D184" i="18"/>
  <c r="D185" i="18"/>
  <c r="I185" i="18"/>
  <c r="H186" i="18"/>
  <c r="H187" i="18"/>
  <c r="G188" i="18"/>
  <c r="F189" i="18"/>
  <c r="F190" i="18"/>
  <c r="E191" i="18"/>
  <c r="D192" i="18"/>
  <c r="D193" i="18"/>
  <c r="I193" i="18"/>
  <c r="H194" i="18"/>
  <c r="H195" i="18"/>
  <c r="G196" i="18"/>
  <c r="F197" i="18"/>
  <c r="F198" i="18"/>
  <c r="E199" i="18"/>
  <c r="D200" i="18"/>
  <c r="D201" i="18"/>
  <c r="I201" i="18"/>
  <c r="H202" i="18"/>
  <c r="E3" i="18"/>
  <c r="E5" i="18"/>
  <c r="H25" i="18"/>
  <c r="H34" i="18"/>
  <c r="F44" i="18"/>
  <c r="D54" i="18"/>
  <c r="G62" i="18"/>
  <c r="H69" i="18"/>
  <c r="F76" i="18"/>
  <c r="D81" i="18"/>
  <c r="E85" i="18"/>
  <c r="D87" i="18"/>
  <c r="I88" i="18"/>
  <c r="G90" i="18"/>
  <c r="F92" i="18"/>
  <c r="I95" i="18"/>
  <c r="H97" i="18"/>
  <c r="G99" i="18"/>
  <c r="E101" i="18"/>
  <c r="D103" i="18"/>
  <c r="I104" i="18"/>
  <c r="G106" i="18"/>
  <c r="F108" i="18"/>
  <c r="E110" i="18"/>
  <c r="I111" i="18"/>
  <c r="H113" i="18"/>
  <c r="G115" i="18"/>
  <c r="E117" i="18"/>
  <c r="I120" i="18"/>
  <c r="G122" i="18"/>
  <c r="F124" i="18"/>
  <c r="E126" i="18"/>
  <c r="H129" i="18"/>
  <c r="E133" i="18"/>
  <c r="I136" i="18"/>
  <c r="G138" i="18"/>
  <c r="E142" i="18"/>
  <c r="H145" i="18"/>
  <c r="E149" i="18"/>
  <c r="D151" i="18"/>
  <c r="G154" i="18"/>
  <c r="E158" i="18"/>
  <c r="I159" i="18"/>
  <c r="E163" i="18"/>
  <c r="I165" i="18"/>
  <c r="E167" i="18"/>
  <c r="I169" i="18"/>
  <c r="E171" i="18"/>
  <c r="I173" i="18"/>
  <c r="G176" i="18"/>
  <c r="D179" i="18"/>
  <c r="I179" i="18"/>
  <c r="H181" i="18"/>
  <c r="F183" i="18"/>
  <c r="E185" i="18"/>
  <c r="D187" i="18"/>
  <c r="H188" i="18"/>
  <c r="G190" i="18"/>
  <c r="F192" i="18"/>
  <c r="D194" i="18"/>
  <c r="I195" i="18"/>
  <c r="H197" i="18"/>
  <c r="F199" i="18"/>
  <c r="E201" i="18"/>
  <c r="I3" i="18"/>
  <c r="H8" i="18"/>
  <c r="E37" i="18"/>
  <c r="D47" i="18"/>
  <c r="D56" i="18"/>
  <c r="F64" i="18"/>
  <c r="H71" i="18"/>
  <c r="G77" i="18"/>
  <c r="G85" i="18"/>
  <c r="E87" i="18"/>
  <c r="D89" i="18"/>
  <c r="G92" i="18"/>
  <c r="I97" i="18"/>
  <c r="E103" i="18"/>
  <c r="G108" i="18"/>
  <c r="E112" i="18"/>
  <c r="H115" i="18"/>
  <c r="D121" i="18"/>
  <c r="E128" i="18"/>
  <c r="G133" i="18"/>
  <c r="I138" i="18"/>
  <c r="E144" i="18"/>
  <c r="I145" i="18"/>
  <c r="E151" i="18"/>
  <c r="D153" i="18"/>
  <c r="F158" i="18"/>
  <c r="I161" i="18"/>
  <c r="H164" i="18"/>
  <c r="H168" i="18"/>
  <c r="H172" i="18"/>
  <c r="F175" i="18"/>
  <c r="D178" i="18"/>
  <c r="D180" i="18"/>
  <c r="H182" i="18"/>
  <c r="G184" i="18"/>
  <c r="E187" i="18"/>
  <c r="I189" i="18"/>
  <c r="G192" i="18"/>
  <c r="E195" i="18"/>
  <c r="I197" i="18"/>
  <c r="G200" i="18"/>
  <c r="H3" i="18"/>
  <c r="F191" i="18"/>
  <c r="H27" i="18"/>
  <c r="E96" i="18"/>
  <c r="I106" i="18"/>
  <c r="I113" i="18"/>
  <c r="E119" i="18"/>
  <c r="G124" i="18"/>
  <c r="I129" i="18"/>
  <c r="E135" i="18"/>
  <c r="G140" i="18"/>
  <c r="H147" i="18"/>
  <c r="G156" i="18"/>
  <c r="D166" i="18"/>
  <c r="D170" i="18"/>
  <c r="D174" i="18"/>
  <c r="E179" i="18"/>
  <c r="I181" i="18"/>
  <c r="F185" i="18"/>
  <c r="D188" i="18"/>
  <c r="H190" i="18"/>
  <c r="F193" i="18"/>
  <c r="D196" i="18"/>
  <c r="H198" i="18"/>
  <c r="F202" i="18"/>
  <c r="G1" i="1"/>
  <c r="A1" i="7"/>
  <c r="A1" i="5"/>
  <c r="A1" i="6"/>
  <c r="B2" i="3"/>
  <c r="B3" i="4"/>
  <c r="Z9" i="1"/>
  <c r="R41" i="6"/>
  <c r="Z8" i="1"/>
  <c r="AP8" i="1" l="1"/>
  <c r="D10" i="14"/>
  <c r="D10" i="13"/>
  <c r="C10" i="14"/>
  <c r="AC9" i="1"/>
  <c r="F7" i="17" s="1"/>
  <c r="AF10" i="1"/>
  <c r="I8" i="17" s="1"/>
  <c r="AQ2" i="1" l="1"/>
  <c r="AQ3" i="1"/>
  <c r="C10" i="13"/>
  <c r="AA6" i="1"/>
  <c r="P4" i="18" l="1"/>
  <c r="P5" i="18"/>
  <c r="P6" i="18"/>
  <c r="P7" i="18"/>
  <c r="P8" i="18"/>
  <c r="P9" i="18"/>
  <c r="P10" i="18"/>
  <c r="P11" i="18"/>
  <c r="P12" i="18"/>
  <c r="P13" i="18"/>
  <c r="P14" i="18"/>
  <c r="P15" i="18"/>
  <c r="P16" i="18"/>
  <c r="P17" i="18"/>
  <c r="P18" i="18"/>
  <c r="P19" i="18"/>
  <c r="P20" i="18"/>
  <c r="P21" i="18"/>
  <c r="P22" i="18"/>
  <c r="P23" i="18"/>
  <c r="P24" i="18"/>
  <c r="P25" i="18"/>
  <c r="P26" i="18"/>
  <c r="P27" i="18"/>
  <c r="P28" i="18"/>
  <c r="P29" i="18"/>
  <c r="P30" i="18"/>
  <c r="P31" i="18"/>
  <c r="P32" i="18"/>
  <c r="P33" i="18"/>
  <c r="P34" i="18"/>
  <c r="P35" i="18"/>
  <c r="P36" i="18"/>
  <c r="P37" i="18"/>
  <c r="P38" i="18"/>
  <c r="P39" i="18"/>
  <c r="P40" i="18"/>
  <c r="P41" i="18"/>
  <c r="P42" i="18"/>
  <c r="P43" i="18"/>
  <c r="P44" i="18"/>
  <c r="P45" i="18"/>
  <c r="P46" i="18"/>
  <c r="P47" i="18"/>
  <c r="P48" i="18"/>
  <c r="P49" i="18"/>
  <c r="P50" i="18"/>
  <c r="P51" i="18"/>
  <c r="P52" i="18"/>
  <c r="P53" i="18"/>
  <c r="P54" i="18"/>
  <c r="P55" i="18"/>
  <c r="P56" i="18"/>
  <c r="P57" i="18"/>
  <c r="P58" i="18"/>
  <c r="P59" i="18"/>
  <c r="P60" i="18"/>
  <c r="P61" i="18"/>
  <c r="P62" i="18"/>
  <c r="P63" i="18"/>
  <c r="P64" i="18"/>
  <c r="P65" i="18"/>
  <c r="P66" i="18"/>
  <c r="P67" i="18"/>
  <c r="P68" i="18"/>
  <c r="P69" i="18"/>
  <c r="P70" i="18"/>
  <c r="P71" i="18"/>
  <c r="P72" i="18"/>
  <c r="P73" i="18"/>
  <c r="P74" i="18"/>
  <c r="P75" i="18"/>
  <c r="P76" i="18"/>
  <c r="P77" i="18"/>
  <c r="P78" i="18"/>
  <c r="P79" i="18"/>
  <c r="P80" i="18"/>
  <c r="P81" i="18"/>
  <c r="P82" i="18"/>
  <c r="P83" i="18"/>
  <c r="P84" i="18"/>
  <c r="P85" i="18"/>
  <c r="P86" i="18"/>
  <c r="P87" i="18"/>
  <c r="P88" i="18"/>
  <c r="P89" i="18"/>
  <c r="P90" i="18"/>
  <c r="P91" i="18"/>
  <c r="P92" i="18"/>
  <c r="P93" i="18"/>
  <c r="P94" i="18"/>
  <c r="P95" i="18"/>
  <c r="P96" i="18"/>
  <c r="P97" i="18"/>
  <c r="P98" i="18"/>
  <c r="P99" i="18"/>
  <c r="P100" i="18"/>
  <c r="P101" i="18"/>
  <c r="P102" i="18"/>
  <c r="P103" i="18"/>
  <c r="P104" i="18"/>
  <c r="P105" i="18"/>
  <c r="P106" i="18"/>
  <c r="P107" i="18"/>
  <c r="P108" i="18"/>
  <c r="P109" i="18"/>
  <c r="P110" i="18"/>
  <c r="P111" i="18"/>
  <c r="P112" i="18"/>
  <c r="P113" i="18"/>
  <c r="P114" i="18"/>
  <c r="P115" i="18"/>
  <c r="P116" i="18"/>
  <c r="P117" i="18"/>
  <c r="P118" i="18"/>
  <c r="P119" i="18"/>
  <c r="P120" i="18"/>
  <c r="P121" i="18"/>
  <c r="P122" i="18"/>
  <c r="P123" i="18"/>
  <c r="P124" i="18"/>
  <c r="P125" i="18"/>
  <c r="P126" i="18"/>
  <c r="P127" i="18"/>
  <c r="P128" i="18"/>
  <c r="P129" i="18"/>
  <c r="P130" i="18"/>
  <c r="P131" i="18"/>
  <c r="P132" i="18"/>
  <c r="P133" i="18"/>
  <c r="P134" i="18"/>
  <c r="P135" i="18"/>
  <c r="P136" i="18"/>
  <c r="P137" i="18"/>
  <c r="P138" i="18"/>
  <c r="P139" i="18"/>
  <c r="P140" i="18"/>
  <c r="P141" i="18"/>
  <c r="P142" i="18"/>
  <c r="P143" i="18"/>
  <c r="P144" i="18"/>
  <c r="P145" i="18"/>
  <c r="P146" i="18"/>
  <c r="P147" i="18"/>
  <c r="P148" i="18"/>
  <c r="P149" i="18"/>
  <c r="P150" i="18"/>
  <c r="P151" i="18"/>
  <c r="P152" i="18"/>
  <c r="P153" i="18"/>
  <c r="P154" i="18"/>
  <c r="P155" i="18"/>
  <c r="P156" i="18"/>
  <c r="P157" i="18"/>
  <c r="P158" i="18"/>
  <c r="P159" i="18"/>
  <c r="P160" i="18"/>
  <c r="P161" i="18"/>
  <c r="P162" i="18"/>
  <c r="P163" i="18"/>
  <c r="P164" i="18"/>
  <c r="P165" i="18"/>
  <c r="P166" i="18"/>
  <c r="P167" i="18"/>
  <c r="P168" i="18"/>
  <c r="P169" i="18"/>
  <c r="P170" i="18"/>
  <c r="P171" i="18"/>
  <c r="P172" i="18"/>
  <c r="P173" i="18"/>
  <c r="P174" i="18"/>
  <c r="P175" i="18"/>
  <c r="P176" i="18"/>
  <c r="P177" i="18"/>
  <c r="P178" i="18"/>
  <c r="P179" i="18"/>
  <c r="P180" i="18"/>
  <c r="P181" i="18"/>
  <c r="P182" i="18"/>
  <c r="P183" i="18"/>
  <c r="P184" i="18"/>
  <c r="P185" i="18"/>
  <c r="P186" i="18"/>
  <c r="P187" i="18"/>
  <c r="P188" i="18"/>
  <c r="P189" i="18"/>
  <c r="P190" i="18"/>
  <c r="P191" i="18"/>
  <c r="P192" i="18"/>
  <c r="P193" i="18"/>
  <c r="P194" i="18"/>
  <c r="P195" i="18"/>
  <c r="P196" i="18"/>
  <c r="P197" i="18"/>
  <c r="P198" i="18"/>
  <c r="P199" i="18"/>
  <c r="P200" i="18"/>
  <c r="P201" i="18"/>
  <c r="P202" i="18"/>
  <c r="P3" i="18"/>
  <c r="C165" i="18"/>
  <c r="C166" i="18"/>
  <c r="C167" i="18"/>
  <c r="C168" i="18"/>
  <c r="C169" i="18"/>
  <c r="C170" i="18"/>
  <c r="C171" i="18"/>
  <c r="C172" i="18"/>
  <c r="C173" i="18"/>
  <c r="C174" i="18"/>
  <c r="C175" i="18"/>
  <c r="C176" i="18"/>
  <c r="C177" i="18"/>
  <c r="C178" i="18"/>
  <c r="C179" i="18"/>
  <c r="C180" i="18"/>
  <c r="C181" i="18"/>
  <c r="C182" i="18"/>
  <c r="C183" i="18"/>
  <c r="C184" i="18"/>
  <c r="C185" i="18"/>
  <c r="C186" i="18"/>
  <c r="C187" i="18"/>
  <c r="C188" i="18"/>
  <c r="C189" i="18"/>
  <c r="C190" i="18"/>
  <c r="C191" i="18"/>
  <c r="C192" i="18"/>
  <c r="C193" i="18"/>
  <c r="C194" i="18"/>
  <c r="C195" i="18"/>
  <c r="C196" i="18"/>
  <c r="C197" i="18"/>
  <c r="C198" i="18"/>
  <c r="C199" i="18"/>
  <c r="C200" i="18"/>
  <c r="C201" i="18"/>
  <c r="C202" i="18"/>
  <c r="AA202" i="18"/>
  <c r="Z202" i="18"/>
  <c r="AA201" i="18"/>
  <c r="AA200" i="18"/>
  <c r="Z200" i="18"/>
  <c r="AA199" i="18"/>
  <c r="Z199" i="18"/>
  <c r="AA198" i="18"/>
  <c r="Z198" i="18"/>
  <c r="AA197" i="18"/>
  <c r="Z197" i="18"/>
  <c r="AA196" i="18"/>
  <c r="Z196" i="18"/>
  <c r="AA195" i="18"/>
  <c r="Z195" i="18"/>
  <c r="AA194" i="18"/>
  <c r="Z194" i="18"/>
  <c r="AA193" i="18"/>
  <c r="Z193" i="18"/>
  <c r="AA192" i="18"/>
  <c r="Z192" i="18"/>
  <c r="AA191" i="18"/>
  <c r="Z191" i="18"/>
  <c r="AA190" i="18"/>
  <c r="Z190" i="18"/>
  <c r="AA189" i="18"/>
  <c r="Z189" i="18"/>
  <c r="AA188" i="18"/>
  <c r="Z188" i="18"/>
  <c r="AA187" i="18"/>
  <c r="Z187" i="18"/>
  <c r="AA186" i="18"/>
  <c r="Z186" i="18"/>
  <c r="AA185" i="18"/>
  <c r="Z185" i="18"/>
  <c r="AA184" i="18"/>
  <c r="Z184" i="18"/>
  <c r="AA183" i="18"/>
  <c r="Z183" i="18"/>
  <c r="AA182" i="18"/>
  <c r="Z182" i="18"/>
  <c r="AA181" i="18"/>
  <c r="Z181" i="18"/>
  <c r="AA180" i="18"/>
  <c r="Z180" i="18"/>
  <c r="AA179" i="18"/>
  <c r="Z179" i="18"/>
  <c r="AA178" i="18"/>
  <c r="Z178" i="18"/>
  <c r="AA177" i="18"/>
  <c r="Z177" i="18"/>
  <c r="AA176" i="18"/>
  <c r="Z176" i="18"/>
  <c r="AA175" i="18"/>
  <c r="Z175" i="18"/>
  <c r="AA174" i="18"/>
  <c r="Z174" i="18"/>
  <c r="AA173" i="18"/>
  <c r="Z173" i="18"/>
  <c r="AA172" i="18"/>
  <c r="Z172" i="18"/>
  <c r="AA171" i="18"/>
  <c r="Z171" i="18"/>
  <c r="AA170" i="18"/>
  <c r="Z170" i="18"/>
  <c r="AA169" i="18"/>
  <c r="Z169" i="18"/>
  <c r="AA168" i="18"/>
  <c r="Z168" i="18"/>
  <c r="AA167" i="18"/>
  <c r="Z167" i="18"/>
  <c r="AA166" i="18"/>
  <c r="Z166" i="18"/>
  <c r="AA165" i="18"/>
  <c r="Z165" i="18"/>
  <c r="AA164" i="18"/>
  <c r="Z164" i="18"/>
  <c r="C164" i="18"/>
  <c r="AA163" i="18"/>
  <c r="Z163" i="18"/>
  <c r="C163" i="18"/>
  <c r="AA162" i="18"/>
  <c r="Z162" i="18"/>
  <c r="C162" i="18"/>
  <c r="AA161" i="18"/>
  <c r="Z161" i="18"/>
  <c r="C161" i="18"/>
  <c r="AA160" i="18"/>
  <c r="Z160" i="18"/>
  <c r="C160" i="18"/>
  <c r="AA159" i="18"/>
  <c r="Z159" i="18"/>
  <c r="C159" i="18"/>
  <c r="AA158" i="18"/>
  <c r="Z158" i="18"/>
  <c r="C158" i="18"/>
  <c r="AA157" i="18"/>
  <c r="Z157" i="18"/>
  <c r="C157" i="18"/>
  <c r="AA156" i="18"/>
  <c r="Z156" i="18"/>
  <c r="C156" i="18"/>
  <c r="AA155" i="18"/>
  <c r="Z155" i="18"/>
  <c r="C155" i="18"/>
  <c r="AA154" i="18"/>
  <c r="Z154" i="18"/>
  <c r="C154" i="18"/>
  <c r="AA153" i="18"/>
  <c r="Z153" i="18"/>
  <c r="C153" i="18"/>
  <c r="AA152" i="18"/>
  <c r="Z152" i="18"/>
  <c r="C152" i="18"/>
  <c r="AA151" i="18"/>
  <c r="Z151" i="18"/>
  <c r="C151" i="18"/>
  <c r="AA150" i="18"/>
  <c r="Z150" i="18"/>
  <c r="C150" i="18"/>
  <c r="AA149" i="18"/>
  <c r="Z149" i="18"/>
  <c r="C149" i="18"/>
  <c r="AA148" i="18"/>
  <c r="Z148" i="18"/>
  <c r="C148" i="18"/>
  <c r="AA147" i="18"/>
  <c r="Z147" i="18"/>
  <c r="C147" i="18"/>
  <c r="AA146" i="18"/>
  <c r="Z146" i="18"/>
  <c r="C146" i="18"/>
  <c r="AA145" i="18"/>
  <c r="Z145" i="18"/>
  <c r="C145" i="18"/>
  <c r="AA144" i="18"/>
  <c r="Z144" i="18"/>
  <c r="C144" i="18"/>
  <c r="AA143" i="18"/>
  <c r="Z143" i="18"/>
  <c r="C143" i="18"/>
  <c r="AA142" i="18"/>
  <c r="Z142" i="18"/>
  <c r="C142" i="18"/>
  <c r="AA141" i="18"/>
  <c r="Z141" i="18"/>
  <c r="C141" i="18"/>
  <c r="AA140" i="18"/>
  <c r="Z140" i="18"/>
  <c r="C140" i="18"/>
  <c r="AA139" i="18"/>
  <c r="Z139" i="18"/>
  <c r="C139" i="18"/>
  <c r="AA138" i="18"/>
  <c r="Z138" i="18"/>
  <c r="C138" i="18"/>
  <c r="AA137" i="18"/>
  <c r="Z137" i="18"/>
  <c r="C137" i="18"/>
  <c r="AA136" i="18"/>
  <c r="Z136" i="18"/>
  <c r="C136" i="18"/>
  <c r="AA135" i="18"/>
  <c r="Z135" i="18"/>
  <c r="C135" i="18"/>
  <c r="AA134" i="18"/>
  <c r="Z134" i="18"/>
  <c r="C134" i="18"/>
  <c r="AA133" i="18"/>
  <c r="Z133" i="18"/>
  <c r="C133" i="18"/>
  <c r="AA132" i="18"/>
  <c r="Z132" i="18"/>
  <c r="C132" i="18"/>
  <c r="AA131" i="18"/>
  <c r="Z131" i="18"/>
  <c r="C131" i="18"/>
  <c r="AA130" i="18"/>
  <c r="Z130" i="18"/>
  <c r="C130" i="18"/>
  <c r="AA129" i="18"/>
  <c r="Z129" i="18"/>
  <c r="C129" i="18"/>
  <c r="AA128" i="18"/>
  <c r="Z128" i="18"/>
  <c r="C128" i="18"/>
  <c r="AA127" i="18"/>
  <c r="Z127" i="18"/>
  <c r="C127" i="18"/>
  <c r="AA126" i="18"/>
  <c r="Z126" i="18"/>
  <c r="C126" i="18"/>
  <c r="AA125" i="18"/>
  <c r="Z125" i="18"/>
  <c r="C125" i="18"/>
  <c r="AA124" i="18"/>
  <c r="Z124" i="18"/>
  <c r="C124" i="18"/>
  <c r="AA123" i="18"/>
  <c r="Z123" i="18"/>
  <c r="C123" i="18"/>
  <c r="AA122" i="18"/>
  <c r="Z122" i="18"/>
  <c r="C122" i="18"/>
  <c r="AA121" i="18"/>
  <c r="Z121" i="18"/>
  <c r="C121" i="18"/>
  <c r="AA120" i="18"/>
  <c r="Z120" i="18"/>
  <c r="C120" i="18"/>
  <c r="AA119" i="18"/>
  <c r="Z119" i="18"/>
  <c r="C119" i="18"/>
  <c r="AA118" i="18"/>
  <c r="Z118" i="18"/>
  <c r="C118" i="18"/>
  <c r="AA117" i="18"/>
  <c r="Z117" i="18"/>
  <c r="C117" i="18"/>
  <c r="AA116" i="18"/>
  <c r="Z116" i="18"/>
  <c r="C116" i="18"/>
  <c r="AA115" i="18"/>
  <c r="Z115" i="18"/>
  <c r="C115" i="18"/>
  <c r="AA114" i="18"/>
  <c r="Z114" i="18"/>
  <c r="C114" i="18"/>
  <c r="AA113" i="18"/>
  <c r="Z113" i="18"/>
  <c r="C113" i="18"/>
  <c r="AA112" i="18"/>
  <c r="Z112" i="18"/>
  <c r="C112" i="18"/>
  <c r="AA111" i="18"/>
  <c r="Z111" i="18"/>
  <c r="C111" i="18"/>
  <c r="AA110" i="18"/>
  <c r="Z110" i="18"/>
  <c r="C110" i="18"/>
  <c r="AA109" i="18"/>
  <c r="Z109" i="18"/>
  <c r="C109" i="18"/>
  <c r="AA108" i="18"/>
  <c r="Z108" i="18"/>
  <c r="C108" i="18"/>
  <c r="AA107" i="18"/>
  <c r="Z107" i="18"/>
  <c r="C107" i="18"/>
  <c r="AA106" i="18"/>
  <c r="Z106" i="18"/>
  <c r="C106" i="18"/>
  <c r="AA105" i="18"/>
  <c r="Z105" i="18"/>
  <c r="C105" i="18"/>
  <c r="AA104" i="18"/>
  <c r="Z104" i="18"/>
  <c r="C104" i="18"/>
  <c r="AA103" i="18"/>
  <c r="Z103" i="18"/>
  <c r="C103" i="18"/>
  <c r="AA102" i="18"/>
  <c r="Z102" i="18"/>
  <c r="C102" i="18"/>
  <c r="AA101" i="18"/>
  <c r="Z101" i="18"/>
  <c r="C101" i="18"/>
  <c r="AA100" i="18"/>
  <c r="Z100" i="18"/>
  <c r="C100" i="18"/>
  <c r="AA99" i="18"/>
  <c r="Z99" i="18"/>
  <c r="C99" i="18"/>
  <c r="AA98" i="18"/>
  <c r="Z98" i="18"/>
  <c r="C98" i="18"/>
  <c r="AA97" i="18"/>
  <c r="Z97" i="18"/>
  <c r="C97" i="18"/>
  <c r="AA96" i="18"/>
  <c r="Z96" i="18"/>
  <c r="C96" i="18"/>
  <c r="AA95" i="18"/>
  <c r="Z95" i="18"/>
  <c r="C95" i="18"/>
  <c r="AA94" i="18"/>
  <c r="Z94" i="18"/>
  <c r="C94" i="18"/>
  <c r="AA93" i="18"/>
  <c r="Z93" i="18"/>
  <c r="C93" i="18"/>
  <c r="AA92" i="18"/>
  <c r="Z92" i="18"/>
  <c r="C92" i="18"/>
  <c r="AA91" i="18"/>
  <c r="Z91" i="18"/>
  <c r="C91" i="18"/>
  <c r="AA90" i="18"/>
  <c r="Z90" i="18"/>
  <c r="C90" i="18"/>
  <c r="AA89" i="18"/>
  <c r="Z89" i="18"/>
  <c r="C89" i="18"/>
  <c r="AA88" i="18"/>
  <c r="Z88" i="18"/>
  <c r="C88" i="18"/>
  <c r="AA87" i="18"/>
  <c r="Z87" i="18"/>
  <c r="C87" i="18"/>
  <c r="AA86" i="18"/>
  <c r="Z86" i="18"/>
  <c r="C86" i="18"/>
  <c r="AA85" i="18"/>
  <c r="Z85" i="18"/>
  <c r="C85" i="18"/>
  <c r="AA84" i="18"/>
  <c r="Z84" i="18"/>
  <c r="C84" i="18"/>
  <c r="AA83" i="18"/>
  <c r="Z83" i="18"/>
  <c r="C83" i="18"/>
  <c r="AA82" i="18"/>
  <c r="Z82" i="18"/>
  <c r="C82" i="18"/>
  <c r="AA81" i="18"/>
  <c r="Z81" i="18"/>
  <c r="C81" i="18"/>
  <c r="AA80" i="18"/>
  <c r="Z80" i="18"/>
  <c r="C80" i="18"/>
  <c r="AA79" i="18"/>
  <c r="Z79" i="18"/>
  <c r="C79" i="18"/>
  <c r="AA78" i="18"/>
  <c r="Z78" i="18"/>
  <c r="C78" i="18"/>
  <c r="AA77" i="18"/>
  <c r="Z77" i="18"/>
  <c r="C77" i="18"/>
  <c r="AA76" i="18"/>
  <c r="Z76" i="18"/>
  <c r="C76" i="18"/>
  <c r="AA75" i="18"/>
  <c r="Z75" i="18"/>
  <c r="C75" i="18"/>
  <c r="AA74" i="18"/>
  <c r="Z74" i="18"/>
  <c r="C74" i="18"/>
  <c r="AA73" i="18"/>
  <c r="Z73" i="18"/>
  <c r="C73" i="18"/>
  <c r="AA72" i="18"/>
  <c r="Z72" i="18"/>
  <c r="C72" i="18"/>
  <c r="AA71" i="18"/>
  <c r="Z71" i="18"/>
  <c r="C71" i="18"/>
  <c r="AA70" i="18"/>
  <c r="Z70" i="18"/>
  <c r="C70" i="18"/>
  <c r="AA69" i="18"/>
  <c r="Z69" i="18"/>
  <c r="C69" i="18"/>
  <c r="AA68" i="18"/>
  <c r="Z68" i="18"/>
  <c r="C68" i="18"/>
  <c r="AA67" i="18"/>
  <c r="Z67" i="18"/>
  <c r="C67" i="18"/>
  <c r="AA66" i="18"/>
  <c r="Z66" i="18"/>
  <c r="C66" i="18"/>
  <c r="AA65" i="18"/>
  <c r="Z65" i="18"/>
  <c r="C65" i="18"/>
  <c r="AA64" i="18"/>
  <c r="Z64" i="18"/>
  <c r="C64" i="18"/>
  <c r="AA63" i="18"/>
  <c r="Z63" i="18"/>
  <c r="C63" i="18"/>
  <c r="AA62" i="18"/>
  <c r="Z62" i="18"/>
  <c r="C62" i="18"/>
  <c r="AA61" i="18"/>
  <c r="Z61" i="18"/>
  <c r="C61" i="18"/>
  <c r="AA60" i="18"/>
  <c r="Z60" i="18"/>
  <c r="C60" i="18"/>
  <c r="AA59" i="18"/>
  <c r="Z59" i="18"/>
  <c r="C59" i="18"/>
  <c r="AA58" i="18"/>
  <c r="Z58" i="18"/>
  <c r="C58" i="18"/>
  <c r="AA57" i="18"/>
  <c r="Z57" i="18"/>
  <c r="C57" i="18"/>
  <c r="AA56" i="18"/>
  <c r="Z56" i="18"/>
  <c r="C56" i="18"/>
  <c r="AA55" i="18"/>
  <c r="Z55" i="18"/>
  <c r="C55" i="18"/>
  <c r="AA54" i="18"/>
  <c r="Z54" i="18"/>
  <c r="C54" i="18"/>
  <c r="AA53" i="18"/>
  <c r="Z53" i="18"/>
  <c r="C53" i="18"/>
  <c r="AA52" i="18"/>
  <c r="Z52" i="18"/>
  <c r="C52" i="18"/>
  <c r="AA51" i="18"/>
  <c r="Z51" i="18"/>
  <c r="C51" i="18"/>
  <c r="AA50" i="18"/>
  <c r="Z50" i="18"/>
  <c r="C50" i="18"/>
  <c r="AA49" i="18"/>
  <c r="Z49" i="18"/>
  <c r="C49" i="18"/>
  <c r="AA48" i="18"/>
  <c r="Z48" i="18"/>
  <c r="C48" i="18"/>
  <c r="AA47" i="18"/>
  <c r="Z47" i="18"/>
  <c r="C47" i="18"/>
  <c r="AA46" i="18"/>
  <c r="Z46" i="18"/>
  <c r="C46" i="18"/>
  <c r="AA45" i="18"/>
  <c r="Z45" i="18"/>
  <c r="C45" i="18"/>
  <c r="AA44" i="18"/>
  <c r="Z44" i="18"/>
  <c r="C44" i="18"/>
  <c r="AA43" i="18"/>
  <c r="Z43" i="18"/>
  <c r="C43" i="18"/>
  <c r="AA42" i="18"/>
  <c r="Z42" i="18"/>
  <c r="C42" i="18"/>
  <c r="AA41" i="18"/>
  <c r="Z41" i="18"/>
  <c r="C41" i="18"/>
  <c r="AA40" i="18"/>
  <c r="Z40" i="18"/>
  <c r="C40" i="18"/>
  <c r="AA39" i="18"/>
  <c r="Z39" i="18"/>
  <c r="C39" i="18"/>
  <c r="AA38" i="18"/>
  <c r="Z38" i="18"/>
  <c r="C38" i="18"/>
  <c r="AA37" i="18"/>
  <c r="Z37" i="18"/>
  <c r="C37" i="18"/>
  <c r="AA36" i="18"/>
  <c r="Z36" i="18"/>
  <c r="C36" i="18"/>
  <c r="AA35" i="18"/>
  <c r="Z35" i="18"/>
  <c r="C35" i="18"/>
  <c r="AA34" i="18"/>
  <c r="Z34" i="18"/>
  <c r="C34" i="18"/>
  <c r="AA33" i="18"/>
  <c r="Z33" i="18"/>
  <c r="C33" i="18"/>
  <c r="AA32" i="18"/>
  <c r="Z32" i="18"/>
  <c r="C32" i="18"/>
  <c r="AA31" i="18"/>
  <c r="Z31" i="18"/>
  <c r="C31" i="18"/>
  <c r="AA30" i="18"/>
  <c r="Z30" i="18"/>
  <c r="C30" i="18"/>
  <c r="AA29" i="18"/>
  <c r="Z29" i="18"/>
  <c r="C29" i="18"/>
  <c r="AA28" i="18"/>
  <c r="Z28" i="18"/>
  <c r="C28" i="18"/>
  <c r="AA27" i="18"/>
  <c r="Z27" i="18"/>
  <c r="C27" i="18"/>
  <c r="AA26" i="18"/>
  <c r="Z26" i="18"/>
  <c r="C26" i="18"/>
  <c r="AA25" i="18"/>
  <c r="Z25" i="18"/>
  <c r="C25" i="18"/>
  <c r="AA24" i="18"/>
  <c r="Z24" i="18"/>
  <c r="C24" i="18"/>
  <c r="AA23" i="18"/>
  <c r="Z23" i="18"/>
  <c r="C23" i="18"/>
  <c r="AA22" i="18"/>
  <c r="Z22" i="18"/>
  <c r="C22" i="18"/>
  <c r="AA21" i="18"/>
  <c r="Z21" i="18"/>
  <c r="C21" i="18"/>
  <c r="AA20" i="18"/>
  <c r="Z20" i="18"/>
  <c r="C20" i="18"/>
  <c r="AA19" i="18"/>
  <c r="Z19" i="18"/>
  <c r="C19" i="18"/>
  <c r="AA18" i="18"/>
  <c r="Z18" i="18"/>
  <c r="C18" i="18"/>
  <c r="AA17" i="18"/>
  <c r="Z17" i="18"/>
  <c r="C17" i="18"/>
  <c r="AA16" i="18"/>
  <c r="Z16" i="18"/>
  <c r="C16" i="18"/>
  <c r="AA15" i="18"/>
  <c r="Z15" i="18"/>
  <c r="C15" i="18"/>
  <c r="AA14" i="18"/>
  <c r="Z14" i="18"/>
  <c r="C14" i="18"/>
  <c r="AA13" i="18"/>
  <c r="Z13" i="18"/>
  <c r="C13" i="18"/>
  <c r="AA12" i="18"/>
  <c r="Z12" i="18"/>
  <c r="C12" i="18"/>
  <c r="AA11" i="18"/>
  <c r="Z11" i="18"/>
  <c r="C11" i="18"/>
  <c r="AA10" i="18"/>
  <c r="Z10" i="18"/>
  <c r="C10" i="18"/>
  <c r="AA9" i="18"/>
  <c r="Z9" i="18"/>
  <c r="C9" i="18"/>
  <c r="AA8" i="18"/>
  <c r="Z8" i="18"/>
  <c r="C8" i="18"/>
  <c r="AA7" i="18"/>
  <c r="Z7" i="18"/>
  <c r="C7" i="18"/>
  <c r="AA6" i="18"/>
  <c r="Z6" i="18"/>
  <c r="C6" i="18"/>
  <c r="AA5" i="18"/>
  <c r="Z5" i="18"/>
  <c r="C5" i="18"/>
  <c r="AA4" i="18"/>
  <c r="Z4" i="18"/>
  <c r="C4" i="18"/>
  <c r="AA3" i="18"/>
  <c r="Z3" i="18"/>
  <c r="C3" i="18"/>
  <c r="Z201" i="18" l="1"/>
  <c r="G34" i="1" l="1"/>
  <c r="G40" i="1"/>
  <c r="H3" i="7" l="1"/>
  <c r="I3" i="7" l="1"/>
  <c r="M3" i="5"/>
  <c r="G8" i="4"/>
  <c r="E3" i="5"/>
  <c r="H3" i="6"/>
  <c r="L3" i="5"/>
  <c r="I3" i="6"/>
  <c r="F3" i="5"/>
  <c r="C1" i="15" l="1"/>
  <c r="U75" i="1" l="1"/>
  <c r="N4" i="10" l="1"/>
  <c r="N5" i="10"/>
  <c r="N6" i="10"/>
  <c r="N7" i="10"/>
  <c r="N8" i="10"/>
  <c r="N9" i="10"/>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N81" i="10"/>
  <c r="N82" i="10"/>
  <c r="N83" i="10"/>
  <c r="N84" i="10"/>
  <c r="N85" i="10"/>
  <c r="N86" i="10"/>
  <c r="N87" i="10"/>
  <c r="N88" i="10"/>
  <c r="N89" i="10"/>
  <c r="N90" i="10"/>
  <c r="N91" i="10"/>
  <c r="N92" i="10"/>
  <c r="N93" i="10"/>
  <c r="N94" i="10"/>
  <c r="N95" i="10"/>
  <c r="N96" i="10"/>
  <c r="N97" i="10"/>
  <c r="N98" i="10"/>
  <c r="N99" i="10"/>
  <c r="N100" i="10"/>
  <c r="N101" i="10"/>
  <c r="N102" i="10"/>
  <c r="N103" i="10"/>
  <c r="N104" i="10"/>
  <c r="N105" i="10"/>
  <c r="N106" i="10"/>
  <c r="N107" i="10"/>
  <c r="N108" i="10"/>
  <c r="N109" i="10"/>
  <c r="N110" i="10"/>
  <c r="N111" i="10"/>
  <c r="N112" i="10"/>
  <c r="N113" i="10"/>
  <c r="N114" i="10"/>
  <c r="N115" i="10"/>
  <c r="N116" i="10"/>
  <c r="N117" i="10"/>
  <c r="N118" i="10"/>
  <c r="N119" i="10"/>
  <c r="N120" i="10"/>
  <c r="N121" i="10"/>
  <c r="N122" i="10"/>
  <c r="N123" i="10"/>
  <c r="N124" i="10"/>
  <c r="N125" i="10"/>
  <c r="N126" i="10"/>
  <c r="N127" i="10"/>
  <c r="N128" i="10"/>
  <c r="N129" i="10"/>
  <c r="N130" i="10"/>
  <c r="N131" i="10"/>
  <c r="N132" i="10"/>
  <c r="N133" i="10"/>
  <c r="N134" i="10"/>
  <c r="N135" i="10"/>
  <c r="N136" i="10"/>
  <c r="N137" i="10"/>
  <c r="N138" i="10"/>
  <c r="N139" i="10"/>
  <c r="N140" i="10"/>
  <c r="N141" i="10"/>
  <c r="N142" i="10"/>
  <c r="N143" i="10"/>
  <c r="N144" i="10"/>
  <c r="N145" i="10"/>
  <c r="N146" i="10"/>
  <c r="N147" i="10"/>
  <c r="N148" i="10"/>
  <c r="N149" i="10"/>
  <c r="N150" i="10"/>
  <c r="N151" i="10"/>
  <c r="N152" i="10"/>
  <c r="N153" i="10"/>
  <c r="N154" i="10"/>
  <c r="N155" i="10"/>
  <c r="N156" i="10"/>
  <c r="N157" i="10"/>
  <c r="N158" i="10"/>
  <c r="N159" i="10"/>
  <c r="N160" i="10"/>
  <c r="N161" i="10"/>
  <c r="N162" i="10"/>
  <c r="N163" i="10"/>
  <c r="N164" i="10"/>
  <c r="N165" i="10"/>
  <c r="N166" i="10"/>
  <c r="N167" i="10"/>
  <c r="N168" i="10"/>
  <c r="N169" i="10"/>
  <c r="N170" i="10"/>
  <c r="N171" i="10"/>
  <c r="N172" i="10"/>
  <c r="N173" i="10"/>
  <c r="N174" i="10"/>
  <c r="N175" i="10"/>
  <c r="N176" i="10"/>
  <c r="N177" i="10"/>
  <c r="N178" i="10"/>
  <c r="N179" i="10"/>
  <c r="N180" i="10"/>
  <c r="N181" i="10"/>
  <c r="N182" i="10"/>
  <c r="N183" i="10"/>
  <c r="N184" i="10"/>
  <c r="N185" i="10"/>
  <c r="N186" i="10"/>
  <c r="N187" i="10"/>
  <c r="N188" i="10"/>
  <c r="N189" i="10"/>
  <c r="N190" i="10"/>
  <c r="N191" i="10"/>
  <c r="N192" i="10"/>
  <c r="N193" i="10"/>
  <c r="N194" i="10"/>
  <c r="N195" i="10"/>
  <c r="N196" i="10"/>
  <c r="N197" i="10"/>
  <c r="N198" i="10"/>
  <c r="N199" i="10"/>
  <c r="N200" i="10"/>
  <c r="N201" i="10"/>
  <c r="N202" i="10"/>
  <c r="N3" i="10"/>
  <c r="C4" i="10"/>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90" i="10"/>
  <c r="C91" i="10"/>
  <c r="C92" i="10"/>
  <c r="C93" i="10"/>
  <c r="C94" i="10"/>
  <c r="C95" i="10"/>
  <c r="C96" i="10"/>
  <c r="C97" i="10"/>
  <c r="C98" i="10"/>
  <c r="C99" i="10"/>
  <c r="C100" i="10"/>
  <c r="C101" i="10"/>
  <c r="C102" i="10"/>
  <c r="C103" i="10"/>
  <c r="C104" i="10"/>
  <c r="C105" i="10"/>
  <c r="C106" i="10"/>
  <c r="C107" i="10"/>
  <c r="C108" i="10"/>
  <c r="C109" i="10"/>
  <c r="C110" i="10"/>
  <c r="C111" i="10"/>
  <c r="C112"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3" i="10"/>
  <c r="T71" i="1"/>
  <c r="T70" i="1"/>
  <c r="P136" i="1" l="1"/>
  <c r="P140" i="1"/>
  <c r="P133" i="1"/>
  <c r="P107" i="1"/>
  <c r="P111" i="1"/>
  <c r="P115" i="1"/>
  <c r="P119" i="1"/>
  <c r="P127" i="1"/>
  <c r="P131" i="1"/>
  <c r="P71" i="1"/>
  <c r="P137" i="1"/>
  <c r="P141" i="1"/>
  <c r="P104" i="1"/>
  <c r="P108" i="1"/>
  <c r="P112" i="1"/>
  <c r="P116" i="1"/>
  <c r="P120" i="1"/>
  <c r="P124" i="1"/>
  <c r="P128" i="1"/>
  <c r="P134" i="1"/>
  <c r="P138" i="1"/>
  <c r="P142" i="1"/>
  <c r="P105" i="1"/>
  <c r="P109" i="1"/>
  <c r="P113" i="1"/>
  <c r="P117" i="1"/>
  <c r="P121" i="1"/>
  <c r="P129" i="1"/>
  <c r="P103" i="1"/>
  <c r="P73" i="1"/>
  <c r="P135" i="1"/>
  <c r="P139" i="1"/>
  <c r="P106" i="1"/>
  <c r="P110" i="1"/>
  <c r="P114" i="1"/>
  <c r="P118" i="1"/>
  <c r="P122" i="1"/>
  <c r="P126" i="1"/>
  <c r="P130" i="1"/>
  <c r="P70" i="1"/>
  <c r="P72" i="1"/>
  <c r="P58" i="1"/>
  <c r="P57" i="1"/>
  <c r="P60" i="1"/>
  <c r="P59" i="1"/>
  <c r="P65" i="1"/>
  <c r="P66" i="1"/>
  <c r="P21" i="1"/>
  <c r="B1" i="15"/>
  <c r="P100" i="1" s="1"/>
  <c r="AD6" i="1"/>
  <c r="P93" i="1" l="1"/>
  <c r="P95" i="1"/>
  <c r="BE71" i="1"/>
  <c r="BE19" i="1"/>
  <c r="BE15" i="1"/>
  <c r="BE67" i="1"/>
  <c r="BE66" i="1"/>
  <c r="BE14" i="1"/>
  <c r="BE18" i="1"/>
  <c r="BE70" i="1"/>
  <c r="BE20" i="1"/>
  <c r="BE72" i="1"/>
  <c r="BE69" i="1"/>
  <c r="BE17" i="1"/>
  <c r="BE68" i="1"/>
  <c r="BE16" i="1"/>
  <c r="AF27" i="6"/>
  <c r="AA27" i="6" s="1"/>
  <c r="Z27" i="6" s="1"/>
  <c r="AD7" i="1"/>
  <c r="M4" i="10" l="1"/>
  <c r="M5" i="10"/>
  <c r="M6" i="10"/>
  <c r="M7" i="10"/>
  <c r="M8" i="10"/>
  <c r="M9" i="10"/>
  <c r="M10" i="10"/>
  <c r="M11" i="10"/>
  <c r="M12" i="10"/>
  <c r="M13" i="10"/>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36" i="10"/>
  <c r="M137" i="10"/>
  <c r="M138" i="10"/>
  <c r="M139" i="10"/>
  <c r="M140" i="10"/>
  <c r="M141" i="10"/>
  <c r="M142" i="10"/>
  <c r="M143" i="10"/>
  <c r="M144" i="10"/>
  <c r="M145" i="10"/>
  <c r="M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71" i="10"/>
  <c r="M172" i="10"/>
  <c r="M173" i="10"/>
  <c r="M174" i="10"/>
  <c r="M175" i="10"/>
  <c r="M176" i="10"/>
  <c r="M177" i="10"/>
  <c r="M178" i="10"/>
  <c r="M179" i="10"/>
  <c r="M180" i="10"/>
  <c r="M181" i="10"/>
  <c r="M182" i="10"/>
  <c r="M183" i="10"/>
  <c r="M184" i="10"/>
  <c r="M185" i="10"/>
  <c r="M186" i="10"/>
  <c r="M187" i="10"/>
  <c r="M188" i="10"/>
  <c r="M189" i="10"/>
  <c r="M190" i="10"/>
  <c r="M191" i="10"/>
  <c r="M192" i="10"/>
  <c r="M193" i="10"/>
  <c r="M194" i="10"/>
  <c r="M195" i="10"/>
  <c r="M196" i="10"/>
  <c r="M197" i="10"/>
  <c r="M198" i="10"/>
  <c r="M199" i="10"/>
  <c r="M200" i="10"/>
  <c r="M201" i="10"/>
  <c r="M202" i="10"/>
  <c r="M3" i="10"/>
  <c r="L177" i="7" l="1"/>
  <c r="L178" i="7"/>
  <c r="L179" i="7"/>
  <c r="L180" i="7"/>
  <c r="L181" i="7"/>
  <c r="L182" i="7"/>
  <c r="L183" i="7"/>
  <c r="L184" i="7"/>
  <c r="L185" i="7"/>
  <c r="L176" i="7"/>
  <c r="L66" i="6"/>
  <c r="AH79" i="1" s="1"/>
  <c r="L67" i="6"/>
  <c r="AH80" i="1" s="1"/>
  <c r="L65" i="6"/>
  <c r="AH78" i="1" s="1"/>
  <c r="W298" i="7"/>
  <c r="W257" i="7" l="1"/>
  <c r="X257" i="7"/>
  <c r="W254" i="7"/>
  <c r="X254" i="7"/>
  <c r="L224" i="7"/>
  <c r="L225" i="7"/>
  <c r="L226" i="7"/>
  <c r="L227" i="7"/>
  <c r="L228" i="7"/>
  <c r="L229" i="7"/>
  <c r="L230" i="7"/>
  <c r="L231" i="7"/>
  <c r="L232" i="7"/>
  <c r="L223" i="7"/>
  <c r="N67" i="6"/>
  <c r="N66" i="6"/>
  <c r="U126" i="1"/>
  <c r="X296" i="7"/>
  <c r="H110" i="1"/>
  <c r="J110" i="1"/>
  <c r="G112" i="1"/>
  <c r="G113" i="1"/>
  <c r="G114" i="1"/>
  <c r="G115" i="1"/>
  <c r="G116" i="1"/>
  <c r="G117" i="1"/>
  <c r="G118" i="1"/>
  <c r="G119" i="1"/>
  <c r="G120" i="1"/>
  <c r="G121" i="1"/>
  <c r="P143" i="1" s="1"/>
  <c r="G122" i="1"/>
  <c r="P144" i="1" s="1"/>
  <c r="G123" i="1"/>
  <c r="P145" i="1" s="1"/>
  <c r="G124" i="1"/>
  <c r="P146" i="1" s="1"/>
  <c r="G125" i="1"/>
  <c r="G126" i="1"/>
  <c r="P148" i="1" s="1"/>
  <c r="G127" i="1"/>
  <c r="P149" i="1" s="1"/>
  <c r="G128" i="1"/>
  <c r="G129" i="1"/>
  <c r="P151" i="1" s="1"/>
  <c r="G130" i="1"/>
  <c r="P152" i="1" s="1"/>
  <c r="G131" i="1"/>
  <c r="P153" i="1" s="1"/>
  <c r="G132" i="1"/>
  <c r="G133" i="1"/>
  <c r="G134" i="1"/>
  <c r="P156" i="1" s="1"/>
  <c r="G135" i="1"/>
  <c r="P157" i="1" s="1"/>
  <c r="G136" i="1"/>
  <c r="P158" i="1" s="1"/>
  <c r="G137" i="1"/>
  <c r="H111" i="1"/>
  <c r="I11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81" i="1"/>
  <c r="H81" i="1"/>
  <c r="J81" i="1"/>
  <c r="H82" i="1"/>
  <c r="J82" i="1"/>
  <c r="H83" i="1"/>
  <c r="J83" i="1"/>
  <c r="H84" i="1"/>
  <c r="J84" i="1"/>
  <c r="H85" i="1"/>
  <c r="J85" i="1"/>
  <c r="H86" i="1"/>
  <c r="J86" i="1"/>
  <c r="H87" i="1"/>
  <c r="J87" i="1"/>
  <c r="H88" i="1"/>
  <c r="J88" i="1"/>
  <c r="H89" i="1"/>
  <c r="J89" i="1"/>
  <c r="H90" i="1"/>
  <c r="J90" i="1"/>
  <c r="H91" i="1"/>
  <c r="J91" i="1"/>
  <c r="H92" i="1"/>
  <c r="J92" i="1"/>
  <c r="H93" i="1"/>
  <c r="J93" i="1"/>
  <c r="H94" i="1"/>
  <c r="J94" i="1"/>
  <c r="H95" i="1"/>
  <c r="J95" i="1"/>
  <c r="H96" i="1"/>
  <c r="J96" i="1"/>
  <c r="H97" i="1"/>
  <c r="J97" i="1"/>
  <c r="H98" i="1"/>
  <c r="J98" i="1"/>
  <c r="H99" i="1"/>
  <c r="J99" i="1"/>
  <c r="H100" i="1"/>
  <c r="J100" i="1"/>
  <c r="H101" i="1"/>
  <c r="J101" i="1"/>
  <c r="H102" i="1"/>
  <c r="J102" i="1"/>
  <c r="H103" i="1"/>
  <c r="J103" i="1"/>
  <c r="H104" i="1"/>
  <c r="J104" i="1"/>
  <c r="H105" i="1"/>
  <c r="J105" i="1"/>
  <c r="H106" i="1"/>
  <c r="J106" i="1"/>
  <c r="H107" i="1"/>
  <c r="J107" i="1"/>
  <c r="H108" i="1"/>
  <c r="J108" i="1"/>
  <c r="H109" i="1"/>
  <c r="J109" i="1"/>
  <c r="G111" i="1"/>
  <c r="G43" i="1"/>
  <c r="G44" i="1"/>
  <c r="G45" i="1"/>
  <c r="G46" i="1"/>
  <c r="G47" i="1"/>
  <c r="G48" i="1"/>
  <c r="G49" i="1"/>
  <c r="G50" i="1"/>
  <c r="G51" i="1"/>
  <c r="G52" i="1"/>
  <c r="G53" i="1"/>
  <c r="G54" i="1"/>
  <c r="G55" i="1"/>
  <c r="G56" i="1"/>
  <c r="G57" i="1"/>
  <c r="G58" i="1"/>
  <c r="G59" i="1"/>
  <c r="G60" i="1"/>
  <c r="G61" i="1"/>
  <c r="G62" i="1"/>
  <c r="G63" i="1"/>
  <c r="G64" i="1"/>
  <c r="H196" i="7" s="1"/>
  <c r="G65" i="1"/>
  <c r="G66" i="1"/>
  <c r="G67" i="1"/>
  <c r="G68" i="1"/>
  <c r="G69" i="1"/>
  <c r="G70" i="1"/>
  <c r="G71" i="1"/>
  <c r="G72" i="1"/>
  <c r="G73" i="1"/>
  <c r="G74" i="1"/>
  <c r="G75" i="1"/>
  <c r="G76" i="1"/>
  <c r="G77" i="1"/>
  <c r="G78" i="1"/>
  <c r="G79" i="1"/>
  <c r="G80" i="1"/>
  <c r="G42" i="1"/>
  <c r="G36" i="1"/>
  <c r="P64" i="1" s="1"/>
  <c r="G37" i="1"/>
  <c r="G38" i="1"/>
  <c r="G39" i="1"/>
  <c r="G35" i="1"/>
  <c r="P63" i="1" s="1"/>
  <c r="G30" i="1"/>
  <c r="G31" i="1"/>
  <c r="G32" i="1"/>
  <c r="G33" i="1"/>
  <c r="G29" i="1"/>
  <c r="G4" i="1"/>
  <c r="G5" i="1"/>
  <c r="G6" i="1"/>
  <c r="G7" i="1"/>
  <c r="G8" i="1"/>
  <c r="G9" i="1"/>
  <c r="G14" i="1"/>
  <c r="G15" i="1"/>
  <c r="G16" i="1"/>
  <c r="G17" i="1"/>
  <c r="G18" i="1"/>
  <c r="G19" i="1"/>
  <c r="G20" i="1"/>
  <c r="G21" i="1"/>
  <c r="G22" i="1"/>
  <c r="G23" i="1"/>
  <c r="G24" i="1"/>
  <c r="G25" i="1"/>
  <c r="G26" i="1"/>
  <c r="P54" i="1" s="1"/>
  <c r="G27" i="1"/>
  <c r="G28" i="1"/>
  <c r="G3" i="1"/>
  <c r="P161" i="7"/>
  <c r="O161" i="7" s="1"/>
  <c r="P162" i="7"/>
  <c r="O162" i="7" s="1"/>
  <c r="P157" i="7"/>
  <c r="O157" i="7" s="1"/>
  <c r="P243" i="7"/>
  <c r="O243" i="7" s="1"/>
  <c r="P244" i="7"/>
  <c r="O244" i="7" s="1"/>
  <c r="P242" i="7"/>
  <c r="O242" i="7" s="1"/>
  <c r="L211" i="7"/>
  <c r="L212" i="7"/>
  <c r="L213" i="7"/>
  <c r="L214" i="7"/>
  <c r="L215" i="7"/>
  <c r="L216" i="7"/>
  <c r="L217" i="7"/>
  <c r="L218" i="7"/>
  <c r="L219" i="7"/>
  <c r="L210" i="7"/>
  <c r="R148" i="7"/>
  <c r="R147" i="7"/>
  <c r="R146" i="7"/>
  <c r="R145" i="7"/>
  <c r="R144" i="7"/>
  <c r="R143" i="7"/>
  <c r="R142" i="7"/>
  <c r="R210" i="7"/>
  <c r="R211" i="7"/>
  <c r="R212" i="7"/>
  <c r="R213" i="7"/>
  <c r="R214" i="7"/>
  <c r="R215" i="7"/>
  <c r="R219" i="7"/>
  <c r="R218" i="7"/>
  <c r="R217" i="7"/>
  <c r="R216" i="7"/>
  <c r="R283" i="7"/>
  <c r="R284" i="7"/>
  <c r="R285" i="7"/>
  <c r="R286" i="7"/>
  <c r="R287" i="7"/>
  <c r="R288" i="7"/>
  <c r="R282" i="7"/>
  <c r="R290" i="7"/>
  <c r="R289" i="7"/>
  <c r="N282" i="7"/>
  <c r="N283" i="7"/>
  <c r="N285" i="7"/>
  <c r="N286" i="7"/>
  <c r="N287" i="7"/>
  <c r="N288" i="7"/>
  <c r="N289" i="7"/>
  <c r="N290" i="7"/>
  <c r="L282" i="7"/>
  <c r="AH67" i="1" s="1"/>
  <c r="L283" i="7"/>
  <c r="AH68" i="1" s="1"/>
  <c r="L284" i="7"/>
  <c r="AH69" i="1" s="1"/>
  <c r="L285" i="7"/>
  <c r="AH70" i="1" s="1"/>
  <c r="L286" i="7"/>
  <c r="AH71" i="1" s="1"/>
  <c r="L287" i="7"/>
  <c r="AH72" i="1" s="1"/>
  <c r="L288" i="7"/>
  <c r="AH73" i="1" s="1"/>
  <c r="L289" i="7"/>
  <c r="AH74" i="1" s="1"/>
  <c r="L290" i="7"/>
  <c r="AH75" i="1" s="1"/>
  <c r="L281" i="7"/>
  <c r="AH66" i="1" s="1"/>
  <c r="Y101" i="1" l="1"/>
  <c r="Y102" i="1"/>
  <c r="G138" i="1"/>
  <c r="V287" i="7"/>
  <c r="V283" i="7"/>
  <c r="V288" i="7"/>
  <c r="V290" i="7"/>
  <c r="V286" i="7"/>
  <c r="V282" i="7"/>
  <c r="V289" i="7"/>
  <c r="V285" i="7"/>
  <c r="R251" i="7" l="1"/>
  <c r="R250" i="7"/>
  <c r="R249" i="7"/>
  <c r="R248" i="7"/>
  <c r="R247" i="7"/>
  <c r="R246" i="7"/>
  <c r="R245" i="7"/>
  <c r="L243" i="7"/>
  <c r="AH56" i="1" s="1"/>
  <c r="L244" i="7"/>
  <c r="AH57" i="1" s="1"/>
  <c r="L245" i="7"/>
  <c r="AH58" i="1" s="1"/>
  <c r="L246" i="7"/>
  <c r="AH59" i="1" s="1"/>
  <c r="L247" i="7"/>
  <c r="AH60" i="1" s="1"/>
  <c r="L248" i="7"/>
  <c r="L249" i="7"/>
  <c r="L250" i="7"/>
  <c r="L251" i="7"/>
  <c r="L242" i="7"/>
  <c r="AH55" i="1" s="1"/>
  <c r="N166" i="7"/>
  <c r="R166" i="7"/>
  <c r="L158" i="7"/>
  <c r="AH45" i="1" s="1"/>
  <c r="L159" i="7"/>
  <c r="AH46" i="1" s="1"/>
  <c r="L160" i="7"/>
  <c r="AH47" i="1" s="1"/>
  <c r="L161" i="7"/>
  <c r="AH48" i="1" s="1"/>
  <c r="L162" i="7"/>
  <c r="AH49" i="1" s="1"/>
  <c r="L163" i="7"/>
  <c r="AH50" i="1" s="1"/>
  <c r="L165" i="7"/>
  <c r="AH52" i="1" s="1"/>
  <c r="L166" i="7"/>
  <c r="AH53" i="1" s="1"/>
  <c r="U132" i="1"/>
  <c r="R158" i="7"/>
  <c r="R157" i="7"/>
  <c r="N158" i="7"/>
  <c r="N159" i="7"/>
  <c r="N160" i="7"/>
  <c r="N161" i="7"/>
  <c r="N162" i="7"/>
  <c r="N163" i="7"/>
  <c r="N164" i="7"/>
  <c r="N165" i="7"/>
  <c r="L157" i="7"/>
  <c r="AH44" i="1" s="1"/>
  <c r="N144" i="7"/>
  <c r="N145" i="7"/>
  <c r="N146" i="7"/>
  <c r="N147" i="7"/>
  <c r="N148" i="7"/>
  <c r="L143" i="7"/>
  <c r="L144" i="7"/>
  <c r="L145" i="7"/>
  <c r="L146" i="7"/>
  <c r="L147" i="7"/>
  <c r="L148" i="7"/>
  <c r="L142" i="7"/>
  <c r="R244" i="7" l="1"/>
  <c r="R159" i="7"/>
  <c r="R243" i="7"/>
  <c r="O26" i="1"/>
  <c r="O25" i="1"/>
  <c r="L22" i="1" l="1"/>
  <c r="P50" i="1" s="1"/>
  <c r="AE20" i="1"/>
  <c r="L23" i="1"/>
  <c r="P51" i="1" s="1"/>
  <c r="AE21" i="1"/>
  <c r="L39" i="1"/>
  <c r="P67" i="1" s="1"/>
  <c r="L33" i="1"/>
  <c r="P61" i="1" s="1"/>
  <c r="P29" i="1"/>
  <c r="P150" i="1" l="1"/>
  <c r="P154" i="1"/>
  <c r="P12" i="1"/>
  <c r="AE22" i="1"/>
  <c r="L134" i="7"/>
  <c r="L135" i="7"/>
  <c r="L136" i="7"/>
  <c r="L137" i="7"/>
  <c r="L138" i="7"/>
  <c r="L133" i="7"/>
  <c r="L127" i="7"/>
  <c r="L128" i="7"/>
  <c r="L129" i="7"/>
  <c r="L130" i="7"/>
  <c r="L131" i="7"/>
  <c r="L126" i="7"/>
  <c r="L121" i="7"/>
  <c r="R121" i="7"/>
  <c r="L116" i="7"/>
  <c r="L117" i="7"/>
  <c r="L118" i="7"/>
  <c r="L119" i="7"/>
  <c r="L120" i="7"/>
  <c r="L115" i="7"/>
  <c r="L11" i="7"/>
  <c r="K11" i="7" s="1"/>
  <c r="H11" i="7" s="1"/>
  <c r="P70" i="7"/>
  <c r="P69" i="7"/>
  <c r="P68" i="7"/>
  <c r="P67" i="7"/>
  <c r="P66" i="7"/>
  <c r="P62" i="7"/>
  <c r="P61" i="7"/>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I43" i="1"/>
  <c r="J43" i="1"/>
  <c r="I44" i="1"/>
  <c r="J44" i="1"/>
  <c r="I45" i="1"/>
  <c r="J45" i="1"/>
  <c r="I46" i="1"/>
  <c r="J46" i="1"/>
  <c r="I47" i="1"/>
  <c r="J47" i="1"/>
  <c r="I48" i="1"/>
  <c r="J48" i="1"/>
  <c r="I49" i="1"/>
  <c r="J49" i="1"/>
  <c r="I50" i="1"/>
  <c r="J50" i="1"/>
  <c r="I51" i="1"/>
  <c r="J51" i="1"/>
  <c r="I52" i="1"/>
  <c r="J52" i="1"/>
  <c r="I53" i="1"/>
  <c r="J53" i="1"/>
  <c r="I54" i="1"/>
  <c r="J54" i="1"/>
  <c r="I55" i="1"/>
  <c r="J55" i="1"/>
  <c r="I56" i="1"/>
  <c r="J56" i="1"/>
  <c r="I57" i="1"/>
  <c r="J57" i="1"/>
  <c r="I58" i="1"/>
  <c r="J58" i="1"/>
  <c r="I59" i="1"/>
  <c r="J59" i="1"/>
  <c r="I60" i="1"/>
  <c r="J60" i="1"/>
  <c r="I61" i="1"/>
  <c r="J61" i="1"/>
  <c r="I62" i="1"/>
  <c r="J62" i="1"/>
  <c r="I63" i="1"/>
  <c r="J63" i="1"/>
  <c r="I64" i="1"/>
  <c r="J64" i="1"/>
  <c r="I65" i="1"/>
  <c r="J65" i="1"/>
  <c r="I66" i="1"/>
  <c r="J66" i="1"/>
  <c r="I67" i="1"/>
  <c r="J67" i="1"/>
  <c r="I68" i="1"/>
  <c r="J68" i="1"/>
  <c r="I69" i="1"/>
  <c r="J69" i="1"/>
  <c r="I70" i="1"/>
  <c r="J70" i="1"/>
  <c r="I71" i="1"/>
  <c r="J71" i="1"/>
  <c r="I72" i="1"/>
  <c r="J72" i="1"/>
  <c r="I73" i="1"/>
  <c r="J73" i="1"/>
  <c r="I74" i="1"/>
  <c r="J74" i="1"/>
  <c r="I75" i="1"/>
  <c r="J75" i="1"/>
  <c r="I76" i="1"/>
  <c r="J76" i="1"/>
  <c r="I77" i="1"/>
  <c r="J77" i="1"/>
  <c r="I78" i="1"/>
  <c r="J78" i="1"/>
  <c r="I79" i="1"/>
  <c r="J79" i="1"/>
  <c r="I80" i="1"/>
  <c r="J80" i="1"/>
  <c r="K5" i="6"/>
  <c r="H5" i="6" s="1"/>
  <c r="K27" i="6"/>
  <c r="H27" i="6" s="1"/>
  <c r="K30" i="6"/>
  <c r="H30" i="6" s="1"/>
  <c r="K33" i="6"/>
  <c r="H33" i="6" s="1"/>
  <c r="K36" i="6"/>
  <c r="H36" i="6" s="1"/>
  <c r="K40" i="6"/>
  <c r="H40" i="6" s="1"/>
  <c r="K44" i="6"/>
  <c r="H44" i="6" s="1"/>
  <c r="K48" i="6"/>
  <c r="H48" i="6" s="1"/>
  <c r="K52" i="6"/>
  <c r="K56" i="6"/>
  <c r="H56" i="6" s="1"/>
  <c r="K60" i="6"/>
  <c r="K64" i="6"/>
  <c r="H64" i="6" s="1"/>
  <c r="K72" i="6"/>
  <c r="K76" i="6"/>
  <c r="H76" i="6" s="1"/>
  <c r="K80" i="6"/>
  <c r="K85" i="6"/>
  <c r="H85" i="6" s="1"/>
  <c r="K88" i="6"/>
  <c r="H88" i="6" s="1"/>
  <c r="K92" i="6"/>
  <c r="H92" i="6" s="1"/>
  <c r="K114" i="6"/>
  <c r="H114" i="6" s="1"/>
  <c r="K117" i="6"/>
  <c r="H117" i="6" s="1"/>
  <c r="K120" i="6"/>
  <c r="H120" i="6" s="1"/>
  <c r="K124" i="6"/>
  <c r="H124" i="6" s="1"/>
  <c r="K127" i="6"/>
  <c r="H127" i="6" s="1"/>
  <c r="K131" i="6"/>
  <c r="H131" i="6" s="1"/>
  <c r="K134" i="6"/>
  <c r="H134" i="6" s="1"/>
  <c r="K137" i="6"/>
  <c r="H137" i="6" s="1"/>
  <c r="K140" i="6"/>
  <c r="H140" i="6" s="1"/>
  <c r="K144" i="6"/>
  <c r="H144" i="6" s="1"/>
  <c r="K147" i="6"/>
  <c r="H147" i="6" s="1"/>
  <c r="K150" i="6"/>
  <c r="H150" i="6" s="1"/>
  <c r="K153" i="6"/>
  <c r="H153" i="6" s="1"/>
  <c r="K156" i="6"/>
  <c r="H156" i="6" s="1"/>
  <c r="K160" i="6"/>
  <c r="H160" i="6" s="1"/>
  <c r="K163" i="6"/>
  <c r="H163" i="6" s="1"/>
  <c r="K166" i="6"/>
  <c r="H166" i="6" s="1"/>
  <c r="K169" i="6"/>
  <c r="H169" i="6" s="1"/>
  <c r="K172" i="6"/>
  <c r="H172" i="6" s="1"/>
  <c r="K175" i="6"/>
  <c r="H175" i="6" s="1"/>
  <c r="I3" i="1"/>
  <c r="J3" i="1"/>
  <c r="J42" i="1"/>
  <c r="I42" i="1"/>
  <c r="O68" i="7" l="1"/>
  <c r="O69" i="7"/>
  <c r="O70" i="7"/>
  <c r="O67" i="7"/>
  <c r="O66" i="7"/>
  <c r="O62" i="7"/>
  <c r="O61" i="7"/>
  <c r="P155" i="1"/>
  <c r="L12" i="7"/>
  <c r="L14" i="7"/>
  <c r="L15" i="7"/>
  <c r="X268" i="7"/>
  <c r="R162" i="6" l="1"/>
  <c r="R149" i="6"/>
  <c r="W149" i="6" s="1"/>
  <c r="I4" i="1"/>
  <c r="J4" i="1"/>
  <c r="I5" i="1"/>
  <c r="J5" i="1"/>
  <c r="I6" i="1"/>
  <c r="J6" i="1"/>
  <c r="I7" i="1"/>
  <c r="J7" i="1"/>
  <c r="I8" i="1"/>
  <c r="J8" i="1"/>
  <c r="I9" i="1"/>
  <c r="J9" i="1"/>
  <c r="I10" i="1"/>
  <c r="J10" i="1"/>
  <c r="I11" i="1"/>
  <c r="J11" i="1"/>
  <c r="I12" i="1"/>
  <c r="J12" i="1"/>
  <c r="I13" i="1"/>
  <c r="J13" i="1"/>
  <c r="I14" i="1"/>
  <c r="J14" i="1"/>
  <c r="I15" i="1"/>
  <c r="J15" i="1"/>
  <c r="I16" i="1"/>
  <c r="J16" i="1"/>
  <c r="I17" i="1"/>
  <c r="J17" i="1"/>
  <c r="I18" i="1"/>
  <c r="J18" i="1"/>
  <c r="I19" i="1"/>
  <c r="J19" i="1"/>
  <c r="I20" i="1"/>
  <c r="J20" i="1"/>
  <c r="I21" i="1"/>
  <c r="J21" i="1"/>
  <c r="I22" i="1"/>
  <c r="J22" i="1"/>
  <c r="I23" i="1"/>
  <c r="J23" i="1"/>
  <c r="I24" i="1"/>
  <c r="J24" i="1"/>
  <c r="I25" i="1"/>
  <c r="J25" i="1"/>
  <c r="I26" i="1"/>
  <c r="J26" i="1"/>
  <c r="I27" i="1"/>
  <c r="J27" i="1"/>
  <c r="I28" i="1"/>
  <c r="J28" i="1"/>
  <c r="J29" i="1"/>
  <c r="J30" i="1"/>
  <c r="J31" i="1"/>
  <c r="J32" i="1"/>
  <c r="J33" i="1"/>
  <c r="J34" i="1"/>
  <c r="I35" i="1"/>
  <c r="I36" i="1"/>
  <c r="I37" i="1"/>
  <c r="I38" i="1"/>
  <c r="I39" i="1"/>
  <c r="I40" i="1"/>
  <c r="H29" i="1"/>
  <c r="H30" i="1"/>
  <c r="H31" i="1"/>
  <c r="H32" i="1"/>
  <c r="H33" i="1"/>
  <c r="H34" i="1"/>
  <c r="H35" i="1"/>
  <c r="H36" i="1"/>
  <c r="H37" i="1"/>
  <c r="H38" i="1"/>
  <c r="H39" i="1"/>
  <c r="H40" i="1"/>
  <c r="R12" i="7"/>
  <c r="L16" i="7"/>
  <c r="K16" i="7" s="1"/>
  <c r="H16" i="7" s="1"/>
  <c r="R17" i="7"/>
  <c r="K22" i="7"/>
  <c r="H22" i="7" s="1"/>
  <c r="R23" i="7"/>
  <c r="K28" i="7"/>
  <c r="H28" i="7" s="1"/>
  <c r="L35" i="7"/>
  <c r="K35" i="7" s="1"/>
  <c r="H35" i="7" s="1"/>
  <c r="R36" i="7"/>
  <c r="L40" i="7"/>
  <c r="K40" i="7" s="1"/>
  <c r="H40" i="7" s="1"/>
  <c r="L169" i="6"/>
  <c r="L166" i="6"/>
  <c r="R170" i="6"/>
  <c r="X152" i="6"/>
  <c r="X136" i="6"/>
  <c r="G12" i="1" l="1"/>
  <c r="G10" i="1"/>
  <c r="G13" i="1"/>
  <c r="G11" i="1"/>
  <c r="L36" i="7"/>
  <c r="L39" i="7"/>
  <c r="K39" i="7" s="1"/>
  <c r="H39" i="7" s="1"/>
  <c r="L38" i="7"/>
  <c r="K38" i="7" s="1"/>
  <c r="H38" i="7" s="1"/>
  <c r="K27" i="7"/>
  <c r="H27" i="7" s="1"/>
  <c r="K25" i="7"/>
  <c r="H25" i="7" s="1"/>
  <c r="L44" i="7"/>
  <c r="K44" i="7" s="1"/>
  <c r="H44" i="7" s="1"/>
  <c r="L43" i="7"/>
  <c r="K43" i="7" s="1"/>
  <c r="H43" i="7" s="1"/>
  <c r="L33" i="7"/>
  <c r="K33" i="7" s="1"/>
  <c r="H33" i="7" s="1"/>
  <c r="K31" i="7"/>
  <c r="H31" i="7" s="1"/>
  <c r="L20" i="7"/>
  <c r="K20" i="7" s="1"/>
  <c r="H20" i="7" s="1"/>
  <c r="L19" i="7"/>
  <c r="K19" i="7" s="1"/>
  <c r="H19" i="7" s="1"/>
  <c r="L17" i="7"/>
  <c r="K15" i="7"/>
  <c r="H15" i="7" s="1"/>
  <c r="K14" i="7"/>
  <c r="H14" i="7" s="1"/>
  <c r="H60" i="6" l="1"/>
  <c r="H72" i="6"/>
  <c r="H80" i="6"/>
  <c r="H52" i="6"/>
  <c r="H21" i="7"/>
  <c r="H34" i="7"/>
  <c r="H10" i="7"/>
  <c r="W91" i="6"/>
  <c r="X91" i="6"/>
  <c r="W84" i="6"/>
  <c r="X47" i="6"/>
  <c r="AH88" i="1" l="1"/>
  <c r="AH85" i="1"/>
  <c r="U158" i="1"/>
  <c r="U157" i="1"/>
  <c r="U156" i="1"/>
  <c r="U153" i="1"/>
  <c r="U152" i="1"/>
  <c r="U151" i="1"/>
  <c r="U149" i="1"/>
  <c r="U148" i="1"/>
  <c r="U147" i="1"/>
  <c r="U146" i="1"/>
  <c r="U145" i="1"/>
  <c r="U144" i="1"/>
  <c r="U143" i="1"/>
  <c r="U142" i="1"/>
  <c r="U141" i="1"/>
  <c r="U140" i="1"/>
  <c r="U139" i="1"/>
  <c r="U138" i="1"/>
  <c r="U137" i="1"/>
  <c r="U136" i="1"/>
  <c r="U135" i="1"/>
  <c r="U134" i="1"/>
  <c r="U133" i="1"/>
  <c r="U131" i="1"/>
  <c r="U130" i="1"/>
  <c r="U129" i="1"/>
  <c r="U128" i="1"/>
  <c r="U127" i="1"/>
  <c r="U124" i="1"/>
  <c r="U122" i="1"/>
  <c r="U121" i="1"/>
  <c r="U120" i="1"/>
  <c r="U119" i="1"/>
  <c r="U118" i="1"/>
  <c r="U117" i="1"/>
  <c r="U116" i="1"/>
  <c r="U115" i="1"/>
  <c r="U114" i="1"/>
  <c r="U113" i="1"/>
  <c r="U112" i="1"/>
  <c r="U111" i="1"/>
  <c r="U110" i="1"/>
  <c r="U109" i="1"/>
  <c r="U108" i="1"/>
  <c r="U107" i="1"/>
  <c r="U106" i="1"/>
  <c r="U105" i="1"/>
  <c r="U104" i="1"/>
  <c r="U103" i="1"/>
  <c r="U102" i="1"/>
  <c r="U101" i="1"/>
  <c r="U97" i="1"/>
  <c r="U96" i="1"/>
  <c r="U95" i="1"/>
  <c r="U79" i="1"/>
  <c r="U78" i="1"/>
  <c r="U77" i="1"/>
  <c r="U74" i="1"/>
  <c r="AF35" i="1" s="1"/>
  <c r="U71" i="1"/>
  <c r="U70" i="1"/>
  <c r="AF38" i="1" l="1"/>
  <c r="R78" i="7" s="1"/>
  <c r="V78" i="7" s="1"/>
  <c r="AI39" i="1" s="1"/>
  <c r="AF36" i="1"/>
  <c r="AF40" i="1"/>
  <c r="R80" i="7" s="1"/>
  <c r="V80" i="7" s="1"/>
  <c r="AI41" i="1" s="1"/>
  <c r="AF37" i="1"/>
  <c r="AF39" i="1"/>
  <c r="R79" i="7" s="1"/>
  <c r="AF41" i="1"/>
  <c r="R81" i="7" s="1"/>
  <c r="I25" i="17"/>
  <c r="R75" i="7"/>
  <c r="N59" i="6"/>
  <c r="N58" i="6"/>
  <c r="N74" i="6"/>
  <c r="N75" i="6"/>
  <c r="T61" i="1"/>
  <c r="W148" i="6" s="1"/>
  <c r="L80" i="6"/>
  <c r="L76" i="6"/>
  <c r="L72" i="6"/>
  <c r="L64" i="6"/>
  <c r="L48" i="6"/>
  <c r="L56" i="6"/>
  <c r="L60" i="6"/>
  <c r="L52" i="6"/>
  <c r="R167" i="6"/>
  <c r="L137" i="6"/>
  <c r="L131" i="6"/>
  <c r="L163" i="6"/>
  <c r="R180" i="6"/>
  <c r="R181" i="6"/>
  <c r="Q181" i="6" s="1"/>
  <c r="R177" i="6"/>
  <c r="R178" i="6"/>
  <c r="R179" i="6"/>
  <c r="R182" i="6"/>
  <c r="Q182" i="6" s="1"/>
  <c r="N178" i="6"/>
  <c r="N179" i="6"/>
  <c r="N180" i="6"/>
  <c r="N181" i="6"/>
  <c r="N182" i="6"/>
  <c r="N177" i="6"/>
  <c r="L177" i="6"/>
  <c r="AH28" i="1" s="1"/>
  <c r="L178" i="6"/>
  <c r="AH29" i="1" s="1"/>
  <c r="L179" i="6"/>
  <c r="AH30" i="1" s="1"/>
  <c r="L180" i="6"/>
  <c r="AH31" i="1" s="1"/>
  <c r="L181" i="6"/>
  <c r="AH32" i="1" s="1"/>
  <c r="L182" i="6"/>
  <c r="AH33" i="1" s="1"/>
  <c r="L176" i="6"/>
  <c r="AH27" i="1" s="1"/>
  <c r="I27" i="17" l="1"/>
  <c r="R77" i="7"/>
  <c r="O81" i="7"/>
  <c r="Q81" i="7"/>
  <c r="V81" i="7"/>
  <c r="AI42" i="1" s="1"/>
  <c r="I26" i="17"/>
  <c r="R76" i="7"/>
  <c r="V79" i="7"/>
  <c r="AI40" i="1" s="1"/>
  <c r="Q79" i="7"/>
  <c r="O79" i="7"/>
  <c r="Q197" i="7"/>
  <c r="V178" i="6"/>
  <c r="V179" i="6"/>
  <c r="O182" i="6"/>
  <c r="V182" i="6"/>
  <c r="V181" i="6"/>
  <c r="AI32" i="1" s="1"/>
  <c r="V180" i="6"/>
  <c r="AI31" i="1" s="1"/>
  <c r="O181" i="6"/>
  <c r="Q180" i="6"/>
  <c r="Q77" i="7" l="1"/>
  <c r="V77" i="7"/>
  <c r="AI38" i="1" s="1"/>
  <c r="U65" i="1"/>
  <c r="U66" i="1"/>
  <c r="U63" i="1"/>
  <c r="AF81" i="1" s="1"/>
  <c r="AF82" i="1" s="1"/>
  <c r="U64" i="1"/>
  <c r="AF84" i="1" s="1"/>
  <c r="AF85" i="1" s="1"/>
  <c r="U60" i="1"/>
  <c r="U58" i="1"/>
  <c r="U57" i="1"/>
  <c r="L134" i="6"/>
  <c r="R135" i="6" l="1"/>
  <c r="R77" i="6"/>
  <c r="R78" i="6" s="1"/>
  <c r="R57" i="6"/>
  <c r="R58" i="6" s="1"/>
  <c r="R49" i="6"/>
  <c r="R50" i="6" s="1"/>
  <c r="T63" i="1"/>
  <c r="T64" i="1"/>
  <c r="T65" i="1"/>
  <c r="T66" i="1"/>
  <c r="N135" i="6" l="1"/>
  <c r="X135" i="6" s="1"/>
  <c r="R90" i="6"/>
  <c r="R87" i="6"/>
  <c r="AC10" i="1"/>
  <c r="T128" i="1"/>
  <c r="T124" i="1"/>
  <c r="T120" i="1"/>
  <c r="T116" i="1"/>
  <c r="T112" i="1"/>
  <c r="AA65" i="7" s="1"/>
  <c r="W71" i="7" s="1"/>
  <c r="I71" i="7" s="1"/>
  <c r="T108" i="1"/>
  <c r="AA40" i="7" s="1"/>
  <c r="T104" i="1"/>
  <c r="AA16" i="7" s="1"/>
  <c r="T151" i="1"/>
  <c r="T143" i="1"/>
  <c r="T139" i="1"/>
  <c r="AB46" i="7" s="1"/>
  <c r="T135" i="1"/>
  <c r="AB22" i="7" s="1"/>
  <c r="T131" i="1"/>
  <c r="T127" i="1"/>
  <c r="T123" i="1"/>
  <c r="T119" i="1"/>
  <c r="T115" i="1"/>
  <c r="T111" i="1"/>
  <c r="AA57" i="7" s="1"/>
  <c r="T107" i="1"/>
  <c r="AA35" i="7" s="1"/>
  <c r="T158" i="1"/>
  <c r="T150" i="1"/>
  <c r="T146" i="1"/>
  <c r="T142" i="1"/>
  <c r="AB65" i="7" s="1"/>
  <c r="T138" i="1"/>
  <c r="AB40" i="7" s="1"/>
  <c r="T134" i="1"/>
  <c r="AB16" i="7" s="1"/>
  <c r="T103" i="1"/>
  <c r="AA11" i="7" s="1"/>
  <c r="T130" i="1"/>
  <c r="T126" i="1"/>
  <c r="T122" i="1"/>
  <c r="T118" i="1"/>
  <c r="T114" i="1"/>
  <c r="T110" i="1"/>
  <c r="AA51" i="7" s="1"/>
  <c r="T106" i="1"/>
  <c r="AA28" i="7" s="1"/>
  <c r="R31" i="7" s="1"/>
  <c r="T157" i="1"/>
  <c r="T153" i="1"/>
  <c r="T149" i="1"/>
  <c r="T145" i="1"/>
  <c r="T141" i="1"/>
  <c r="AB57" i="7" s="1"/>
  <c r="T137" i="1"/>
  <c r="AB35" i="7" s="1"/>
  <c r="T129" i="1"/>
  <c r="T121" i="1"/>
  <c r="T117" i="1"/>
  <c r="T113" i="1"/>
  <c r="T109" i="1"/>
  <c r="AA46" i="7" s="1"/>
  <c r="T105" i="1"/>
  <c r="AA22" i="7" s="1"/>
  <c r="R25" i="7" s="1"/>
  <c r="T133" i="1"/>
  <c r="AB11" i="7" s="1"/>
  <c r="X15" i="7" s="1"/>
  <c r="I15" i="7" s="1"/>
  <c r="T156" i="1"/>
  <c r="T152" i="1"/>
  <c r="T148" i="1"/>
  <c r="T144" i="1"/>
  <c r="T140" i="1"/>
  <c r="AB51" i="7" s="1"/>
  <c r="T136" i="1"/>
  <c r="AB28" i="7" s="1"/>
  <c r="U4" i="1"/>
  <c r="V34" i="1"/>
  <c r="L41" i="1"/>
  <c r="L138" i="1"/>
  <c r="Q25" i="7" l="1"/>
  <c r="N25" i="7"/>
  <c r="Q31" i="7"/>
  <c r="N31" i="7"/>
  <c r="Y26" i="1"/>
  <c r="F4" i="17" s="1"/>
  <c r="AQ4" i="1"/>
  <c r="Q28" i="1"/>
  <c r="X11" i="7"/>
  <c r="J111" i="1"/>
  <c r="X72" i="7"/>
  <c r="I72" i="7" s="1"/>
  <c r="X64" i="7"/>
  <c r="I64" i="7" s="1"/>
  <c r="W63" i="7"/>
  <c r="I63" i="7" s="1"/>
  <c r="X55" i="7"/>
  <c r="I55" i="7" s="1"/>
  <c r="W54" i="7"/>
  <c r="I54" i="7" s="1"/>
  <c r="X50" i="7"/>
  <c r="I50" i="7" s="1"/>
  <c r="W49" i="7"/>
  <c r="I49" i="7" s="1"/>
  <c r="W43" i="7"/>
  <c r="X44" i="7"/>
  <c r="I44" i="7" s="1"/>
  <c r="X39" i="7"/>
  <c r="I39" i="7" s="1"/>
  <c r="W38" i="7"/>
  <c r="X33" i="7"/>
  <c r="I33" i="7" s="1"/>
  <c r="W31" i="7"/>
  <c r="W25" i="7"/>
  <c r="X27" i="7"/>
  <c r="I27" i="7" s="1"/>
  <c r="X20" i="7"/>
  <c r="W19" i="7"/>
  <c r="I19" i="7" s="1"/>
  <c r="W14" i="7"/>
  <c r="W65" i="7"/>
  <c r="N62" i="6"/>
  <c r="N63" i="6"/>
  <c r="N90" i="6"/>
  <c r="N87" i="6"/>
  <c r="L90" i="6"/>
  <c r="AH90" i="1" s="1"/>
  <c r="L87" i="6"/>
  <c r="AH87" i="1" s="1"/>
  <c r="L82" i="6"/>
  <c r="N82" i="6"/>
  <c r="L83" i="6"/>
  <c r="N83" i="6"/>
  <c r="L78" i="6"/>
  <c r="N78" i="6"/>
  <c r="L79" i="6"/>
  <c r="N79" i="6"/>
  <c r="R79" i="6"/>
  <c r="L74" i="6"/>
  <c r="L75" i="6"/>
  <c r="R59" i="6"/>
  <c r="W59" i="6" s="1"/>
  <c r="N54" i="6"/>
  <c r="N55" i="6"/>
  <c r="R51" i="6"/>
  <c r="N50" i="6"/>
  <c r="N51" i="6"/>
  <c r="L62" i="6"/>
  <c r="L63" i="6"/>
  <c r="L58" i="6"/>
  <c r="L59" i="6"/>
  <c r="L50" i="6"/>
  <c r="L51" i="6"/>
  <c r="L54" i="6"/>
  <c r="L55" i="6"/>
  <c r="R83" i="6"/>
  <c r="R75" i="6"/>
  <c r="V75" i="6" s="1"/>
  <c r="R63" i="6"/>
  <c r="R55" i="6"/>
  <c r="P18" i="1" l="1"/>
  <c r="P16" i="1"/>
  <c r="P14" i="1"/>
  <c r="P13" i="1"/>
  <c r="P15" i="1"/>
  <c r="P10" i="1"/>
  <c r="P11" i="1"/>
  <c r="P8" i="1"/>
  <c r="P7" i="1"/>
  <c r="K111" i="1"/>
  <c r="N111" i="1" s="1"/>
  <c r="I85" i="1"/>
  <c r="I38" i="7"/>
  <c r="J38" i="7" s="1"/>
  <c r="I84" i="1"/>
  <c r="I31" i="7"/>
  <c r="J31" i="7" s="1"/>
  <c r="I81" i="1"/>
  <c r="I14" i="7"/>
  <c r="J14" i="7" s="1"/>
  <c r="I20" i="7"/>
  <c r="J20" i="7" s="1"/>
  <c r="I86" i="1"/>
  <c r="I43" i="7"/>
  <c r="J43" i="7" s="1"/>
  <c r="I83" i="1"/>
  <c r="I25" i="7"/>
  <c r="J25" i="7" s="1"/>
  <c r="J19" i="7"/>
  <c r="I82" i="1"/>
  <c r="V55" i="6"/>
  <c r="X65" i="7"/>
  <c r="W57" i="7"/>
  <c r="W51" i="7"/>
  <c r="X51" i="7"/>
  <c r="X46" i="7"/>
  <c r="W46" i="7"/>
  <c r="W40" i="7"/>
  <c r="X40" i="7"/>
  <c r="J44" i="7"/>
  <c r="X35" i="7"/>
  <c r="J39" i="7"/>
  <c r="W35" i="7"/>
  <c r="W28" i="7"/>
  <c r="X28" i="7"/>
  <c r="J33" i="7"/>
  <c r="W22" i="7"/>
  <c r="X22" i="7"/>
  <c r="J27" i="7"/>
  <c r="X16" i="7"/>
  <c r="X10" i="7" s="1"/>
  <c r="W16" i="7"/>
  <c r="W11" i="7"/>
  <c r="X57" i="7"/>
  <c r="W79" i="6"/>
  <c r="V83" i="6"/>
  <c r="V63" i="6"/>
  <c r="W51" i="6"/>
  <c r="W78" i="6"/>
  <c r="W50" i="6"/>
  <c r="M111" i="1" l="1"/>
  <c r="A111" i="1" s="1"/>
  <c r="K86" i="1"/>
  <c r="N86" i="1" s="1"/>
  <c r="K84" i="1"/>
  <c r="N84" i="1" s="1"/>
  <c r="K83" i="1"/>
  <c r="N83" i="1" s="1"/>
  <c r="K82" i="1"/>
  <c r="N82" i="1" s="1"/>
  <c r="K81" i="1"/>
  <c r="N81" i="1" s="1"/>
  <c r="K85" i="1"/>
  <c r="N85" i="1" s="1"/>
  <c r="W21" i="7"/>
  <c r="W34" i="7"/>
  <c r="W10" i="7"/>
  <c r="U40" i="1"/>
  <c r="U41" i="1"/>
  <c r="R73" i="6" s="1"/>
  <c r="U42" i="1"/>
  <c r="R81" i="6" s="1"/>
  <c r="U43" i="1"/>
  <c r="U44" i="1"/>
  <c r="U45" i="1"/>
  <c r="U46" i="1"/>
  <c r="U47" i="1"/>
  <c r="U48" i="1"/>
  <c r="R132" i="6" s="1"/>
  <c r="U49" i="1"/>
  <c r="R138" i="6" s="1"/>
  <c r="U52" i="1"/>
  <c r="U53" i="1"/>
  <c r="U56" i="1"/>
  <c r="U35" i="1"/>
  <c r="U36" i="1"/>
  <c r="U37" i="1"/>
  <c r="U38" i="1"/>
  <c r="U39" i="1"/>
  <c r="R53" i="6" s="1"/>
  <c r="AH94" i="6"/>
  <c r="AH95" i="6"/>
  <c r="AH96" i="6"/>
  <c r="AH97" i="6"/>
  <c r="AH98" i="6"/>
  <c r="AH99" i="6"/>
  <c r="AH100" i="6"/>
  <c r="AH101" i="6"/>
  <c r="AH102" i="6"/>
  <c r="AH103" i="6"/>
  <c r="AH104" i="6"/>
  <c r="AH105" i="6"/>
  <c r="AH106" i="6"/>
  <c r="AH107" i="6"/>
  <c r="AH108" i="6"/>
  <c r="AH109" i="6"/>
  <c r="AH110" i="6"/>
  <c r="AH111" i="6"/>
  <c r="AH112" i="6"/>
  <c r="AH113" i="6"/>
  <c r="AH114" i="6"/>
  <c r="AH115" i="6"/>
  <c r="AH116" i="6"/>
  <c r="AH93" i="6"/>
  <c r="AH7" i="6"/>
  <c r="AH8" i="6"/>
  <c r="AH9" i="6"/>
  <c r="AH10" i="6"/>
  <c r="AH11" i="6"/>
  <c r="AH12" i="6"/>
  <c r="AH13" i="6"/>
  <c r="AH14" i="6"/>
  <c r="AH15" i="6"/>
  <c r="AH16" i="6"/>
  <c r="AH17" i="6"/>
  <c r="AH18" i="6"/>
  <c r="AH19" i="6"/>
  <c r="AH20" i="6"/>
  <c r="AH21" i="6"/>
  <c r="AH22" i="6"/>
  <c r="AH23" i="6"/>
  <c r="AH24" i="6"/>
  <c r="AH25" i="6"/>
  <c r="AH26" i="6"/>
  <c r="AH27" i="6"/>
  <c r="T29" i="1"/>
  <c r="AD115" i="6" s="1"/>
  <c r="U28" i="1"/>
  <c r="H9" i="17" s="1"/>
  <c r="AH65" i="1"/>
  <c r="L26" i="7"/>
  <c r="L32" i="7"/>
  <c r="R174" i="6"/>
  <c r="V174" i="6" s="1"/>
  <c r="R173" i="6"/>
  <c r="R171" i="6"/>
  <c r="R168" i="6"/>
  <c r="R165" i="6"/>
  <c r="R164" i="6"/>
  <c r="R158" i="6"/>
  <c r="R142" i="6"/>
  <c r="X142" i="6" s="1"/>
  <c r="R129" i="6"/>
  <c r="X90" i="6"/>
  <c r="AI90" i="1" s="1"/>
  <c r="X87" i="6"/>
  <c r="AI87" i="1" s="1"/>
  <c r="R67" i="6"/>
  <c r="P67" i="6"/>
  <c r="O67" i="6" s="1"/>
  <c r="R66" i="6"/>
  <c r="P66" i="6"/>
  <c r="O66" i="6" s="1"/>
  <c r="R65" i="6"/>
  <c r="P65" i="6"/>
  <c r="O65" i="6" s="1"/>
  <c r="R46" i="6"/>
  <c r="V46" i="6" s="1"/>
  <c r="R42" i="6"/>
  <c r="V42" i="6" s="1"/>
  <c r="V41" i="6"/>
  <c r="R38" i="6"/>
  <c r="V38" i="6" s="1"/>
  <c r="R35" i="6"/>
  <c r="V35" i="6" s="1"/>
  <c r="R32" i="6"/>
  <c r="V32" i="6" s="1"/>
  <c r="R29" i="6"/>
  <c r="V29" i="6" s="1"/>
  <c r="R28" i="6"/>
  <c r="AH6" i="6"/>
  <c r="R232" i="7"/>
  <c r="R231" i="7"/>
  <c r="R230" i="7"/>
  <c r="R229" i="7"/>
  <c r="R228" i="7"/>
  <c r="R227" i="7"/>
  <c r="R205" i="7"/>
  <c r="R185" i="7"/>
  <c r="R184" i="7"/>
  <c r="R183" i="7"/>
  <c r="R182" i="7"/>
  <c r="R181" i="7"/>
  <c r="R180" i="7"/>
  <c r="R179" i="7"/>
  <c r="R138" i="7"/>
  <c r="R137" i="7"/>
  <c r="R136" i="7"/>
  <c r="R135" i="7"/>
  <c r="R134" i="7"/>
  <c r="R133" i="7"/>
  <c r="R131" i="7"/>
  <c r="R130" i="7"/>
  <c r="R129" i="7"/>
  <c r="R128" i="7"/>
  <c r="R127" i="7"/>
  <c r="R126" i="7"/>
  <c r="R120" i="7"/>
  <c r="R119" i="7"/>
  <c r="R118" i="7"/>
  <c r="R117" i="7"/>
  <c r="R116" i="7"/>
  <c r="R115" i="7"/>
  <c r="R70" i="7"/>
  <c r="R69" i="7"/>
  <c r="R68" i="7"/>
  <c r="R67" i="7"/>
  <c r="R66" i="7"/>
  <c r="R62" i="7"/>
  <c r="V62" i="7" s="1"/>
  <c r="R61" i="7"/>
  <c r="V61" i="7" s="1"/>
  <c r="R60" i="7"/>
  <c r="P60" i="7"/>
  <c r="R59" i="7"/>
  <c r="P59" i="7"/>
  <c r="R58" i="7"/>
  <c r="P58" i="7"/>
  <c r="R52" i="7"/>
  <c r="R47" i="7"/>
  <c r="R41" i="7"/>
  <c r="V58" i="7" l="1"/>
  <c r="V59" i="7"/>
  <c r="AD114" i="6"/>
  <c r="AD27" i="6"/>
  <c r="O60" i="7"/>
  <c r="N60" i="7"/>
  <c r="V60" i="7" s="1"/>
  <c r="O58" i="7"/>
  <c r="O59" i="7"/>
  <c r="AF114" i="6"/>
  <c r="AA114" i="6" s="1"/>
  <c r="L18" i="7"/>
  <c r="L9" i="7"/>
  <c r="L13" i="7"/>
  <c r="L7" i="7"/>
  <c r="M86" i="1"/>
  <c r="A86" i="1" s="1"/>
  <c r="M82" i="1"/>
  <c r="A82" i="1" s="1"/>
  <c r="M81" i="1"/>
  <c r="A81" i="1" s="1"/>
  <c r="M83" i="1"/>
  <c r="A83" i="1" s="1"/>
  <c r="M85" i="1"/>
  <c r="A85" i="1" s="1"/>
  <c r="M84" i="1"/>
  <c r="A84" i="1" s="1"/>
  <c r="P206" i="7"/>
  <c r="P207" i="7"/>
  <c r="R61" i="6"/>
  <c r="R62" i="6" s="1"/>
  <c r="V62" i="6" s="1"/>
  <c r="R82" i="6"/>
  <c r="V82" i="6" s="1"/>
  <c r="R74" i="6"/>
  <c r="V74" i="6" s="1"/>
  <c r="R54" i="6"/>
  <c r="V54" i="6" s="1"/>
  <c r="W58" i="6"/>
  <c r="U20" i="1"/>
  <c r="F11" i="17" s="1"/>
  <c r="W66" i="6"/>
  <c r="AI79" i="1" s="1"/>
  <c r="W67" i="6"/>
  <c r="AI80" i="1" s="1"/>
  <c r="J114" i="1"/>
  <c r="J115" i="1"/>
  <c r="AF115" i="6"/>
  <c r="AA115" i="6" s="1"/>
  <c r="Z115" i="6" s="1"/>
  <c r="G41" i="1"/>
  <c r="H47" i="6"/>
  <c r="E7" i="5" s="1"/>
  <c r="P205" i="7"/>
  <c r="O205" i="7" s="1"/>
  <c r="X304" i="7"/>
  <c r="W304" i="7"/>
  <c r="L304" i="7"/>
  <c r="X301" i="7"/>
  <c r="W301" i="7"/>
  <c r="L301" i="7"/>
  <c r="L296" i="7"/>
  <c r="L298" i="7" s="1"/>
  <c r="X293" i="7"/>
  <c r="W293" i="7"/>
  <c r="L293" i="7"/>
  <c r="L280" i="7"/>
  <c r="K280" i="7" s="1"/>
  <c r="H280" i="7" s="1"/>
  <c r="X276" i="7"/>
  <c r="W276" i="7"/>
  <c r="L276" i="7"/>
  <c r="X273" i="7"/>
  <c r="W273" i="7"/>
  <c r="L273" i="7"/>
  <c r="L268" i="7"/>
  <c r="W264" i="7"/>
  <c r="L264" i="7"/>
  <c r="W261" i="7"/>
  <c r="L261" i="7"/>
  <c r="L257" i="7"/>
  <c r="L254" i="7"/>
  <c r="L241" i="7"/>
  <c r="K241" i="7" s="1"/>
  <c r="H241" i="7" s="1"/>
  <c r="L235" i="7"/>
  <c r="L222" i="7"/>
  <c r="K222" i="7" s="1"/>
  <c r="H222" i="7" s="1"/>
  <c r="L209" i="7"/>
  <c r="K209" i="7" s="1"/>
  <c r="H209" i="7" s="1"/>
  <c r="X204" i="7"/>
  <c r="V201" i="7"/>
  <c r="L188" i="7"/>
  <c r="R189" i="7" s="1"/>
  <c r="L175" i="7"/>
  <c r="R176" i="7" s="1"/>
  <c r="L170" i="7"/>
  <c r="R171" i="7" s="1"/>
  <c r="L156" i="7"/>
  <c r="K156" i="7" s="1"/>
  <c r="H156" i="7" s="1"/>
  <c r="L151" i="7"/>
  <c r="V148" i="7"/>
  <c r="V147" i="7"/>
  <c r="V146" i="7"/>
  <c r="V144" i="7"/>
  <c r="L141" i="7"/>
  <c r="K141" i="7" s="1"/>
  <c r="H141" i="7" s="1"/>
  <c r="L124" i="7"/>
  <c r="K124" i="7" s="1"/>
  <c r="H124" i="7" s="1"/>
  <c r="L114" i="7"/>
  <c r="K114" i="7" s="1"/>
  <c r="H114" i="7" s="1"/>
  <c r="L104" i="7"/>
  <c r="R105" i="7" s="1"/>
  <c r="L93" i="7"/>
  <c r="L84" i="7"/>
  <c r="R85" i="7" s="1"/>
  <c r="L74" i="7"/>
  <c r="L65" i="7"/>
  <c r="K65" i="7" s="1"/>
  <c r="H65" i="7" s="1"/>
  <c r="L57" i="7"/>
  <c r="K57" i="7" s="1"/>
  <c r="H57" i="7" s="1"/>
  <c r="L51" i="7"/>
  <c r="K51" i="7" s="1"/>
  <c r="H51" i="7" s="1"/>
  <c r="L46" i="7"/>
  <c r="K46" i="7" s="1"/>
  <c r="H46" i="7" s="1"/>
  <c r="Z40" i="7" l="1"/>
  <c r="Z28" i="7"/>
  <c r="Z22" i="7"/>
  <c r="N23" i="7" s="1"/>
  <c r="L24" i="7" s="1"/>
  <c r="Z35" i="7"/>
  <c r="N36" i="7" s="1"/>
  <c r="AL114" i="6"/>
  <c r="W206" i="7"/>
  <c r="O206" i="7"/>
  <c r="W207" i="7"/>
  <c r="O207" i="7"/>
  <c r="Q85" i="7"/>
  <c r="Q105" i="7"/>
  <c r="AA93" i="1"/>
  <c r="BD70" i="1"/>
  <c r="BF70" i="1" s="1"/>
  <c r="BD18" i="1"/>
  <c r="BF18" i="1" s="1"/>
  <c r="AA92" i="1"/>
  <c r="BD69" i="1"/>
  <c r="BF69" i="1" s="1"/>
  <c r="BD17" i="1"/>
  <c r="BF17" i="1" s="1"/>
  <c r="AA90" i="1"/>
  <c r="BD15" i="1"/>
  <c r="BF15" i="1" s="1"/>
  <c r="BD67" i="1"/>
  <c r="BF67" i="1" s="1"/>
  <c r="AA91" i="1"/>
  <c r="BD68" i="1"/>
  <c r="BF68" i="1" s="1"/>
  <c r="BD16" i="1"/>
  <c r="BF16" i="1" s="1"/>
  <c r="R99" i="7"/>
  <c r="R98" i="7"/>
  <c r="R94" i="7"/>
  <c r="R97" i="7"/>
  <c r="R95" i="7"/>
  <c r="R100" i="7"/>
  <c r="R96" i="7"/>
  <c r="AF19" i="6"/>
  <c r="AA19" i="6" s="1"/>
  <c r="Z19" i="6" s="1"/>
  <c r="K114" i="1"/>
  <c r="N114" i="1" s="1"/>
  <c r="K115" i="1"/>
  <c r="N115" i="1" s="1"/>
  <c r="N41" i="7"/>
  <c r="K301" i="7"/>
  <c r="H301" i="7" s="1"/>
  <c r="R303" i="7"/>
  <c r="V303" i="7" s="1"/>
  <c r="R302" i="7"/>
  <c r="K304" i="7"/>
  <c r="H304" i="7" s="1"/>
  <c r="R306" i="7"/>
  <c r="V306" i="7" s="1"/>
  <c r="R305" i="7"/>
  <c r="X300" i="7"/>
  <c r="K175" i="7"/>
  <c r="H175" i="7" s="1"/>
  <c r="K293" i="7"/>
  <c r="H293" i="7" s="1"/>
  <c r="R295" i="7"/>
  <c r="V295" i="7" s="1"/>
  <c r="AF106" i="6"/>
  <c r="AA106" i="6" s="1"/>
  <c r="U19" i="1"/>
  <c r="F10" i="17" s="1"/>
  <c r="U21" i="1"/>
  <c r="K257" i="7"/>
  <c r="H257" i="7" s="1"/>
  <c r="R258" i="7"/>
  <c r="R259" i="7"/>
  <c r="V259" i="7" s="1"/>
  <c r="K264" i="7"/>
  <c r="H264" i="7" s="1"/>
  <c r="R266" i="7"/>
  <c r="V266" i="7" s="1"/>
  <c r="R265" i="7"/>
  <c r="K273" i="7"/>
  <c r="H273" i="7" s="1"/>
  <c r="R274" i="7"/>
  <c r="R275" i="7"/>
  <c r="V275" i="7" s="1"/>
  <c r="K261" i="7"/>
  <c r="H261" i="7" s="1"/>
  <c r="R262" i="7"/>
  <c r="R263" i="7"/>
  <c r="V263" i="7" s="1"/>
  <c r="K254" i="7"/>
  <c r="H254" i="7" s="1"/>
  <c r="R255" i="7"/>
  <c r="R256" i="7"/>
  <c r="V256" i="7" s="1"/>
  <c r="K276" i="7"/>
  <c r="H276" i="7" s="1"/>
  <c r="R278" i="7"/>
  <c r="V278" i="7" s="1"/>
  <c r="R277" i="7"/>
  <c r="U55" i="1"/>
  <c r="W300" i="7"/>
  <c r="K296" i="7"/>
  <c r="H296" i="7" s="1"/>
  <c r="K104" i="7"/>
  <c r="H104" i="7" s="1"/>
  <c r="R153" i="7"/>
  <c r="V153" i="7" s="1"/>
  <c r="R152" i="7"/>
  <c r="K151" i="7"/>
  <c r="H151" i="7" s="1"/>
  <c r="K74" i="7"/>
  <c r="H74" i="7" s="1"/>
  <c r="K84" i="7"/>
  <c r="H84" i="7" s="1"/>
  <c r="R190" i="7"/>
  <c r="V190" i="7" s="1"/>
  <c r="K188" i="7"/>
  <c r="H188" i="7" s="1"/>
  <c r="R236" i="7"/>
  <c r="R237" i="7"/>
  <c r="V237" i="7" s="1"/>
  <c r="K235" i="7"/>
  <c r="H235" i="7" s="1"/>
  <c r="R270" i="7"/>
  <c r="V270" i="7" s="1"/>
  <c r="R269" i="7"/>
  <c r="K268" i="7"/>
  <c r="H268" i="7" s="1"/>
  <c r="K93" i="7"/>
  <c r="H93" i="7" s="1"/>
  <c r="AB84" i="7"/>
  <c r="L173" i="7"/>
  <c r="R173" i="7" s="1"/>
  <c r="R172" i="7"/>
  <c r="V172" i="7" s="1"/>
  <c r="K170" i="7"/>
  <c r="H170" i="7" s="1"/>
  <c r="X280" i="7"/>
  <c r="L50" i="7"/>
  <c r="K50" i="7" s="1"/>
  <c r="L49" i="7"/>
  <c r="K49" i="7" s="1"/>
  <c r="L55" i="7"/>
  <c r="K55" i="7" s="1"/>
  <c r="L54" i="7"/>
  <c r="K54" i="7" s="1"/>
  <c r="X292" i="7"/>
  <c r="L64" i="7"/>
  <c r="K64" i="7" s="1"/>
  <c r="L63" i="7"/>
  <c r="K63" i="7" s="1"/>
  <c r="L72" i="7"/>
  <c r="K72" i="7" s="1"/>
  <c r="L71" i="7"/>
  <c r="K71" i="7" s="1"/>
  <c r="J15" i="7"/>
  <c r="X272" i="7"/>
  <c r="L255" i="7"/>
  <c r="J112" i="1"/>
  <c r="J113" i="1"/>
  <c r="AL115" i="6"/>
  <c r="L233" i="7"/>
  <c r="AA222" i="7" s="1"/>
  <c r="X56" i="7"/>
  <c r="L83" i="7"/>
  <c r="L238" i="7"/>
  <c r="L252" i="7"/>
  <c r="AA241" i="7" s="1"/>
  <c r="L297" i="7"/>
  <c r="L174" i="7"/>
  <c r="R174" i="7" s="1"/>
  <c r="W56" i="7"/>
  <c r="L140" i="7"/>
  <c r="L154" i="7"/>
  <c r="L167" i="7"/>
  <c r="K202" i="7"/>
  <c r="H202" i="7" s="1"/>
  <c r="L253" i="7"/>
  <c r="AB241" i="7" s="1"/>
  <c r="L265" i="7"/>
  <c r="L274" i="7"/>
  <c r="L291" i="7"/>
  <c r="L305" i="7"/>
  <c r="L122" i="7"/>
  <c r="R122" i="7" s="1"/>
  <c r="L123" i="7"/>
  <c r="R123" i="7" s="1"/>
  <c r="X45" i="7"/>
  <c r="L101" i="7"/>
  <c r="L102" i="7"/>
  <c r="L234" i="7"/>
  <c r="AB222" i="7" s="1"/>
  <c r="L239" i="7"/>
  <c r="L258" i="7"/>
  <c r="L294" i="7"/>
  <c r="L302" i="7"/>
  <c r="L220" i="7"/>
  <c r="AA209" i="7" s="1"/>
  <c r="L277" i="7"/>
  <c r="L155" i="7"/>
  <c r="W8" i="7"/>
  <c r="L139" i="7"/>
  <c r="L168" i="7"/>
  <c r="AB156" i="7" s="1"/>
  <c r="L171" i="7"/>
  <c r="L262" i="7"/>
  <c r="W272" i="7"/>
  <c r="L152" i="7"/>
  <c r="L299" i="7"/>
  <c r="W45" i="7"/>
  <c r="W6" i="7"/>
  <c r="G139" i="1"/>
  <c r="L191" i="7"/>
  <c r="L112" i="7"/>
  <c r="R112" i="7" s="1"/>
  <c r="L41" i="7"/>
  <c r="L82" i="7"/>
  <c r="L92" i="7"/>
  <c r="L113" i="7"/>
  <c r="R113" i="7" s="1"/>
  <c r="L47" i="7"/>
  <c r="L52" i="7"/>
  <c r="L150" i="7"/>
  <c r="L149" i="7"/>
  <c r="L186" i="7"/>
  <c r="AA175" i="7" s="1"/>
  <c r="L187" i="7"/>
  <c r="AB175" i="7" s="1"/>
  <c r="X261" i="7"/>
  <c r="L192" i="7"/>
  <c r="L269" i="7"/>
  <c r="L271" i="7"/>
  <c r="R271" i="7" s="1"/>
  <c r="L221" i="7"/>
  <c r="L236" i="7"/>
  <c r="W260" i="7"/>
  <c r="W240" i="7" s="1"/>
  <c r="X264" i="7"/>
  <c r="L86" i="6"/>
  <c r="AH86" i="1" s="1"/>
  <c r="L49" i="6"/>
  <c r="L57" i="6"/>
  <c r="L77" i="6"/>
  <c r="L89" i="6"/>
  <c r="AH89" i="1" s="1"/>
  <c r="N29" i="7" l="1"/>
  <c r="L30" i="7" s="1"/>
  <c r="Z16" i="7"/>
  <c r="N17" i="7" s="1"/>
  <c r="V41" i="7"/>
  <c r="V40" i="7" s="1"/>
  <c r="I40" i="7" s="1"/>
  <c r="J40" i="7" s="1"/>
  <c r="V36" i="7"/>
  <c r="V35" i="7" s="1"/>
  <c r="I35" i="7" s="1"/>
  <c r="J35" i="7" s="1"/>
  <c r="V29" i="7"/>
  <c r="V28" i="7" s="1"/>
  <c r="I28" i="7" s="1"/>
  <c r="J28" i="7" s="1"/>
  <c r="V23" i="7"/>
  <c r="V22" i="7" s="1"/>
  <c r="I22" i="7" s="1"/>
  <c r="J22" i="7" s="1"/>
  <c r="O198" i="7"/>
  <c r="AA89" i="1"/>
  <c r="BD14" i="1"/>
  <c r="BF14" i="1" s="1"/>
  <c r="BD66" i="1"/>
  <c r="BF66" i="1" s="1"/>
  <c r="Q96" i="7"/>
  <c r="Q94" i="7"/>
  <c r="Q97" i="7"/>
  <c r="Q100" i="7"/>
  <c r="Q98" i="7"/>
  <c r="Q95" i="7"/>
  <c r="Q99" i="7"/>
  <c r="AF20" i="6"/>
  <c r="AA20" i="6" s="1"/>
  <c r="Z20" i="6" s="1"/>
  <c r="AF18" i="6"/>
  <c r="AA18" i="6" s="1"/>
  <c r="Z18" i="6" s="1"/>
  <c r="Z106" i="6"/>
  <c r="M115" i="1"/>
  <c r="A115" i="1" s="1"/>
  <c r="M114" i="1"/>
  <c r="A114" i="1" s="1"/>
  <c r="K113" i="1"/>
  <c r="N113" i="1" s="1"/>
  <c r="K112" i="1"/>
  <c r="N112" i="1" s="1"/>
  <c r="P163" i="7"/>
  <c r="O163" i="7" s="1"/>
  <c r="P165" i="7"/>
  <c r="O165" i="7" s="1"/>
  <c r="P158" i="7"/>
  <c r="O158" i="7" s="1"/>
  <c r="P159" i="7"/>
  <c r="O159" i="7" s="1"/>
  <c r="P166" i="7"/>
  <c r="Y22" i="7"/>
  <c r="Q262" i="7"/>
  <c r="Q255" i="7"/>
  <c r="Q302" i="7"/>
  <c r="Q75" i="7"/>
  <c r="Q305" i="7"/>
  <c r="H300" i="7"/>
  <c r="L15" i="5" s="1"/>
  <c r="H71" i="7"/>
  <c r="J71" i="7" s="1"/>
  <c r="H50" i="7"/>
  <c r="J50" i="7" s="1"/>
  <c r="H72" i="7"/>
  <c r="J72" i="7" s="1"/>
  <c r="H54" i="7"/>
  <c r="H63" i="7"/>
  <c r="J63" i="7" s="1"/>
  <c r="H55" i="7"/>
  <c r="J55" i="7" s="1"/>
  <c r="H64" i="7"/>
  <c r="J64" i="7" s="1"/>
  <c r="H49" i="7"/>
  <c r="AF107" i="6"/>
  <c r="AA107" i="6" s="1"/>
  <c r="AF105" i="6"/>
  <c r="AA105" i="6" s="1"/>
  <c r="P173" i="6"/>
  <c r="O173" i="6" s="1"/>
  <c r="H272" i="7"/>
  <c r="L12" i="5" s="1"/>
  <c r="Q265" i="7"/>
  <c r="Q258" i="7"/>
  <c r="Q277" i="7"/>
  <c r="Q274" i="7"/>
  <c r="I89" i="1"/>
  <c r="I90" i="1"/>
  <c r="I88" i="1"/>
  <c r="I87" i="1"/>
  <c r="K299" i="7"/>
  <c r="H299" i="7" s="1"/>
  <c r="H292" i="7" s="1"/>
  <c r="L14" i="5" s="1"/>
  <c r="R239" i="7"/>
  <c r="AB235" i="7"/>
  <c r="K291" i="7"/>
  <c r="H291" i="7" s="1"/>
  <c r="R291" i="7"/>
  <c r="AA280" i="7"/>
  <c r="R238" i="7"/>
  <c r="AA235" i="7"/>
  <c r="R192" i="7"/>
  <c r="AB188" i="7"/>
  <c r="R191" i="7"/>
  <c r="AA188" i="7"/>
  <c r="AA156" i="7"/>
  <c r="K168" i="7"/>
  <c r="H168" i="7" s="1"/>
  <c r="R168" i="7"/>
  <c r="N168" i="7" s="1"/>
  <c r="K234" i="7"/>
  <c r="H234" i="7" s="1"/>
  <c r="R234" i="7"/>
  <c r="K139" i="7"/>
  <c r="H139" i="7" s="1"/>
  <c r="R139" i="7"/>
  <c r="AA124" i="7"/>
  <c r="K220" i="7"/>
  <c r="H220" i="7" s="1"/>
  <c r="R220" i="7"/>
  <c r="N220" i="7" s="1"/>
  <c r="K186" i="7"/>
  <c r="H186" i="7" s="1"/>
  <c r="R186" i="7"/>
  <c r="N186" i="7" s="1"/>
  <c r="K167" i="7"/>
  <c r="H167" i="7" s="1"/>
  <c r="R167" i="7"/>
  <c r="K150" i="7"/>
  <c r="H150" i="7" s="1"/>
  <c r="R150" i="7"/>
  <c r="AB141" i="7"/>
  <c r="K221" i="7"/>
  <c r="H221" i="7" s="1"/>
  <c r="R221" i="7"/>
  <c r="K253" i="7"/>
  <c r="H253" i="7" s="1"/>
  <c r="R253" i="7"/>
  <c r="N253" i="7" s="1"/>
  <c r="K140" i="7"/>
  <c r="H140" i="7" s="1"/>
  <c r="R140" i="7"/>
  <c r="K252" i="7"/>
  <c r="H252" i="7" s="1"/>
  <c r="R252" i="7"/>
  <c r="N252" i="7" s="1"/>
  <c r="K233" i="7"/>
  <c r="H233" i="7" s="1"/>
  <c r="R233" i="7"/>
  <c r="K149" i="7"/>
  <c r="H149" i="7" s="1"/>
  <c r="R149" i="7"/>
  <c r="AA141" i="7"/>
  <c r="K187" i="7"/>
  <c r="H187" i="7" s="1"/>
  <c r="R187" i="7"/>
  <c r="N187" i="7" s="1"/>
  <c r="X279" i="7"/>
  <c r="K122" i="7"/>
  <c r="H122" i="7" s="1"/>
  <c r="AA114" i="7"/>
  <c r="N122" i="7" s="1"/>
  <c r="K123" i="7"/>
  <c r="H123" i="7" s="1"/>
  <c r="AB114" i="7"/>
  <c r="N123" i="7" s="1"/>
  <c r="K192" i="7"/>
  <c r="H192" i="7" s="1"/>
  <c r="R92" i="7"/>
  <c r="K92" i="7"/>
  <c r="H92" i="7" s="1"/>
  <c r="AA84" i="7"/>
  <c r="R102" i="7"/>
  <c r="K102" i="7"/>
  <c r="H102" i="7" s="1"/>
  <c r="AB93" i="7"/>
  <c r="K174" i="7"/>
  <c r="H174" i="7" s="1"/>
  <c r="AB170" i="7"/>
  <c r="N174" i="7" s="1"/>
  <c r="K173" i="7"/>
  <c r="H173" i="7" s="1"/>
  <c r="AA170" i="7"/>
  <c r="N173" i="7" s="1"/>
  <c r="Q269" i="7"/>
  <c r="Q236" i="7"/>
  <c r="Q152" i="7"/>
  <c r="K271" i="7"/>
  <c r="H271" i="7" s="1"/>
  <c r="AA268" i="7"/>
  <c r="N271" i="7" s="1"/>
  <c r="K101" i="7"/>
  <c r="H101" i="7" s="1"/>
  <c r="R101" i="7"/>
  <c r="AA93" i="7"/>
  <c r="K154" i="7"/>
  <c r="H154" i="7" s="1"/>
  <c r="R154" i="7"/>
  <c r="AA151" i="7"/>
  <c r="K83" i="7"/>
  <c r="H83" i="7" s="1"/>
  <c r="R83" i="7"/>
  <c r="AB74" i="7"/>
  <c r="K191" i="7"/>
  <c r="H191" i="7" s="1"/>
  <c r="R82" i="7"/>
  <c r="K82" i="7"/>
  <c r="H82" i="7" s="1"/>
  <c r="AA74" i="7"/>
  <c r="K112" i="7"/>
  <c r="H112" i="7" s="1"/>
  <c r="AA104" i="7"/>
  <c r="N112" i="7" s="1"/>
  <c r="K113" i="7"/>
  <c r="H113" i="7" s="1"/>
  <c r="AB104" i="7"/>
  <c r="N113" i="7" s="1"/>
  <c r="K155" i="7"/>
  <c r="H155" i="7" s="1"/>
  <c r="R155" i="7"/>
  <c r="AB151" i="7"/>
  <c r="K239" i="7"/>
  <c r="H239" i="7" s="1"/>
  <c r="Q171" i="7"/>
  <c r="Q189" i="7"/>
  <c r="K238" i="7"/>
  <c r="H238" i="7" s="1"/>
  <c r="X6" i="7"/>
  <c r="X8" i="7"/>
  <c r="J116" i="1"/>
  <c r="X21" i="7"/>
  <c r="H260" i="7"/>
  <c r="L10" i="5" s="1"/>
  <c r="W5" i="7"/>
  <c r="X34" i="7"/>
  <c r="X260" i="7"/>
  <c r="X267" i="7"/>
  <c r="AI33" i="1"/>
  <c r="Q178" i="6"/>
  <c r="V177" i="6"/>
  <c r="X175" i="6"/>
  <c r="W175" i="6"/>
  <c r="L175" i="6"/>
  <c r="X172" i="6"/>
  <c r="W172" i="6"/>
  <c r="L172" i="6"/>
  <c r="X171" i="6"/>
  <c r="W168" i="6"/>
  <c r="X166" i="6"/>
  <c r="V165" i="6"/>
  <c r="X163" i="6"/>
  <c r="W163" i="6"/>
  <c r="V162" i="6"/>
  <c r="X160" i="6"/>
  <c r="W160" i="6"/>
  <c r="L160" i="6"/>
  <c r="L161" i="6" s="1"/>
  <c r="V158" i="6"/>
  <c r="X156" i="6"/>
  <c r="W156" i="6"/>
  <c r="L156" i="6"/>
  <c r="L157" i="6" s="1"/>
  <c r="V155" i="6"/>
  <c r="X153" i="6"/>
  <c r="W153" i="6"/>
  <c r="L153" i="6"/>
  <c r="L154" i="6" s="1"/>
  <c r="L150" i="6"/>
  <c r="L151" i="6" s="1"/>
  <c r="X147" i="6"/>
  <c r="L147" i="6"/>
  <c r="L148" i="6" s="1"/>
  <c r="V146" i="6"/>
  <c r="X144" i="6"/>
  <c r="W144" i="6"/>
  <c r="L144" i="6"/>
  <c r="L145" i="6" s="1"/>
  <c r="V140" i="6"/>
  <c r="W140" i="6"/>
  <c r="L140" i="6"/>
  <c r="V139" i="6"/>
  <c r="X137" i="6"/>
  <c r="W137" i="6"/>
  <c r="L138" i="6"/>
  <c r="W134" i="6"/>
  <c r="L135" i="6"/>
  <c r="V133" i="6"/>
  <c r="L132" i="6"/>
  <c r="X131" i="6"/>
  <c r="W131" i="6"/>
  <c r="V129" i="6"/>
  <c r="X127" i="6"/>
  <c r="W127" i="6"/>
  <c r="L127" i="6"/>
  <c r="V126" i="6"/>
  <c r="X124" i="6"/>
  <c r="X123" i="6" s="1"/>
  <c r="W124" i="6"/>
  <c r="W123" i="6" s="1"/>
  <c r="L124" i="6"/>
  <c r="L120" i="6"/>
  <c r="L117" i="6"/>
  <c r="L114" i="6"/>
  <c r="L92" i="6"/>
  <c r="L88" i="6"/>
  <c r="L85" i="6"/>
  <c r="V84" i="6"/>
  <c r="X44" i="6"/>
  <c r="X43" i="6" s="1"/>
  <c r="W44" i="6"/>
  <c r="W43" i="6" s="1"/>
  <c r="L44" i="6"/>
  <c r="H43" i="6"/>
  <c r="E6" i="5" s="1"/>
  <c r="X40" i="6"/>
  <c r="X39" i="6" s="1"/>
  <c r="W40" i="6"/>
  <c r="W39" i="6" s="1"/>
  <c r="L40" i="6"/>
  <c r="L41" i="6" s="1"/>
  <c r="H39" i="6"/>
  <c r="E5" i="5" s="1"/>
  <c r="X36" i="6"/>
  <c r="W36" i="6"/>
  <c r="L36" i="6"/>
  <c r="X33" i="6"/>
  <c r="W33" i="6"/>
  <c r="L33" i="6"/>
  <c r="X30" i="6"/>
  <c r="W30" i="6"/>
  <c r="L30" i="6"/>
  <c r="X27" i="6"/>
  <c r="W27" i="6"/>
  <c r="L27" i="6"/>
  <c r="X5" i="6"/>
  <c r="W5" i="6"/>
  <c r="L5" i="6"/>
  <c r="H47" i="1" l="1"/>
  <c r="Y93" i="1" s="1"/>
  <c r="AC93" i="1" s="1"/>
  <c r="H44" i="1"/>
  <c r="Y90" i="1" s="1"/>
  <c r="AC90" i="1" s="1"/>
  <c r="Y35" i="7"/>
  <c r="Y40" i="7"/>
  <c r="J21" i="7"/>
  <c r="Y28" i="7"/>
  <c r="I21" i="7"/>
  <c r="V17" i="7"/>
  <c r="V16" i="7" s="1"/>
  <c r="I16" i="7" s="1"/>
  <c r="J16" i="7" s="1"/>
  <c r="V166" i="7"/>
  <c r="AI53" i="1" s="1"/>
  <c r="O166" i="7"/>
  <c r="Z105" i="6"/>
  <c r="Z107" i="6"/>
  <c r="L45" i="6"/>
  <c r="R45" i="6"/>
  <c r="L141" i="6"/>
  <c r="R141" i="6"/>
  <c r="N141" i="6" s="1"/>
  <c r="X141" i="6" s="1"/>
  <c r="X140" i="6" s="1"/>
  <c r="I140" i="6" s="1"/>
  <c r="J140" i="6" s="1"/>
  <c r="L121" i="6"/>
  <c r="R121" i="6"/>
  <c r="L31" i="6"/>
  <c r="R31" i="6"/>
  <c r="L125" i="6"/>
  <c r="R125" i="6"/>
  <c r="L128" i="6"/>
  <c r="R128" i="6"/>
  <c r="L37" i="6"/>
  <c r="R37" i="6"/>
  <c r="L34" i="6"/>
  <c r="R34" i="6"/>
  <c r="L115" i="6"/>
  <c r="R115" i="6"/>
  <c r="L118" i="6"/>
  <c r="R118" i="6"/>
  <c r="M112" i="1"/>
  <c r="A112" i="1" s="1"/>
  <c r="M113" i="1"/>
  <c r="A113" i="1" s="1"/>
  <c r="K90" i="1"/>
  <c r="N90" i="1" s="1"/>
  <c r="K116" i="1"/>
  <c r="N116" i="1" s="1"/>
  <c r="K47" i="1"/>
  <c r="N47" i="1" s="1"/>
  <c r="K89" i="1"/>
  <c r="N89" i="1" s="1"/>
  <c r="K87" i="1"/>
  <c r="N87" i="1" s="1"/>
  <c r="K88" i="1"/>
  <c r="N88" i="1" s="1"/>
  <c r="Z85" i="6"/>
  <c r="AI85" i="1" s="1"/>
  <c r="AE81" i="1" s="1"/>
  <c r="AE80" i="1" s="1"/>
  <c r="R86" i="6"/>
  <c r="Z88" i="6"/>
  <c r="AI88" i="1" s="1"/>
  <c r="AE84" i="1" s="1"/>
  <c r="AE83" i="1" s="1"/>
  <c r="R89" i="6"/>
  <c r="N167" i="7"/>
  <c r="W167" i="7" s="1"/>
  <c r="N150" i="7"/>
  <c r="X150" i="7" s="1"/>
  <c r="I150" i="7" s="1"/>
  <c r="N239" i="7"/>
  <c r="X239" i="7" s="1"/>
  <c r="N233" i="7"/>
  <c r="W233" i="7" s="1"/>
  <c r="I233" i="7" s="1"/>
  <c r="N139" i="7"/>
  <c r="W139" i="7" s="1"/>
  <c r="X168" i="7"/>
  <c r="N191" i="7"/>
  <c r="W191" i="7" s="1"/>
  <c r="N238" i="7"/>
  <c r="W238" i="7" s="1"/>
  <c r="I238" i="7" s="1"/>
  <c r="N149" i="7"/>
  <c r="W149" i="7" s="1"/>
  <c r="I149" i="7" s="1"/>
  <c r="N155" i="7"/>
  <c r="X155" i="7" s="1"/>
  <c r="N154" i="7"/>
  <c r="W154" i="7" s="1"/>
  <c r="N234" i="7"/>
  <c r="X234" i="7" s="1"/>
  <c r="I234" i="7" s="1"/>
  <c r="N192" i="7"/>
  <c r="X192" i="7" s="1"/>
  <c r="N291" i="7"/>
  <c r="W291" i="7" s="1"/>
  <c r="I291" i="7" s="1"/>
  <c r="J291" i="7" s="1"/>
  <c r="N101" i="7"/>
  <c r="W101" i="7" s="1"/>
  <c r="I101" i="7" s="1"/>
  <c r="N102" i="7"/>
  <c r="X102" i="7" s="1"/>
  <c r="N82" i="7"/>
  <c r="W82" i="7" s="1"/>
  <c r="I82" i="7" s="1"/>
  <c r="N83" i="7"/>
  <c r="X83" i="7" s="1"/>
  <c r="H6" i="7"/>
  <c r="J49" i="7"/>
  <c r="H8" i="7"/>
  <c r="J54" i="7"/>
  <c r="L53" i="7"/>
  <c r="H240" i="7"/>
  <c r="H169" i="7"/>
  <c r="L7" i="5" s="1"/>
  <c r="N226" i="7"/>
  <c r="V226" i="7" s="1"/>
  <c r="N230" i="7"/>
  <c r="V230" i="7" s="1"/>
  <c r="N227" i="7"/>
  <c r="V227" i="7" s="1"/>
  <c r="N231" i="7"/>
  <c r="V231" i="7" s="1"/>
  <c r="N228" i="7"/>
  <c r="V228" i="7" s="1"/>
  <c r="N232" i="7"/>
  <c r="V232" i="7" s="1"/>
  <c r="N229" i="7"/>
  <c r="V229" i="7" s="1"/>
  <c r="L173" i="6"/>
  <c r="X253" i="7"/>
  <c r="I253" i="7" s="1"/>
  <c r="X187" i="7"/>
  <c r="I187" i="7" s="1"/>
  <c r="W186" i="7"/>
  <c r="X123" i="7"/>
  <c r="I123" i="7" s="1"/>
  <c r="W122" i="7"/>
  <c r="I122" i="7" s="1"/>
  <c r="N92" i="7"/>
  <c r="W92" i="7" s="1"/>
  <c r="I92" i="7" s="1"/>
  <c r="W220" i="7"/>
  <c r="I220" i="7" s="1"/>
  <c r="N178" i="7"/>
  <c r="V178" i="7" s="1"/>
  <c r="N179" i="7"/>
  <c r="V179" i="7" s="1"/>
  <c r="Q283" i="7"/>
  <c r="N180" i="7"/>
  <c r="V180" i="7" s="1"/>
  <c r="N184" i="7"/>
  <c r="V184" i="7" s="1"/>
  <c r="N181" i="7"/>
  <c r="V181" i="7" s="1"/>
  <c r="N185" i="7"/>
  <c r="V185" i="7" s="1"/>
  <c r="N182" i="7"/>
  <c r="V182" i="7" s="1"/>
  <c r="N183" i="7"/>
  <c r="V183" i="7" s="1"/>
  <c r="N215" i="7"/>
  <c r="V215" i="7" s="1"/>
  <c r="N214" i="7"/>
  <c r="V214" i="7" s="1"/>
  <c r="H279" i="7"/>
  <c r="L13" i="5" s="1"/>
  <c r="N251" i="7"/>
  <c r="N247" i="7"/>
  <c r="N245" i="7"/>
  <c r="N250" i="7"/>
  <c r="N246" i="7"/>
  <c r="N249" i="7"/>
  <c r="N248" i="7"/>
  <c r="N216" i="7"/>
  <c r="V216" i="7" s="1"/>
  <c r="N213" i="7"/>
  <c r="V213" i="7" s="1"/>
  <c r="N217" i="7"/>
  <c r="V217" i="7" s="1"/>
  <c r="N218" i="7"/>
  <c r="V218" i="7" s="1"/>
  <c r="N219" i="7"/>
  <c r="V219" i="7" s="1"/>
  <c r="H73" i="7"/>
  <c r="L5" i="5" s="1"/>
  <c r="W271" i="7"/>
  <c r="I271" i="7" s="1"/>
  <c r="W173" i="7"/>
  <c r="I173" i="7" s="1"/>
  <c r="W112" i="7"/>
  <c r="J117" i="1"/>
  <c r="H56" i="7"/>
  <c r="H45" i="7"/>
  <c r="H46" i="1"/>
  <c r="Y92" i="1" s="1"/>
  <c r="AC92" i="1" s="1"/>
  <c r="X5" i="7"/>
  <c r="J120" i="1"/>
  <c r="J119" i="1"/>
  <c r="J118" i="1"/>
  <c r="H45" i="1"/>
  <c r="Y91" i="1" s="1"/>
  <c r="AC91" i="1" s="1"/>
  <c r="X4" i="6"/>
  <c r="H103" i="7"/>
  <c r="L6" i="5" s="1"/>
  <c r="H267" i="7"/>
  <c r="L11" i="5" s="1"/>
  <c r="V21" i="7"/>
  <c r="Y21" i="7" s="1"/>
  <c r="V34" i="7"/>
  <c r="Y34" i="7" s="1"/>
  <c r="W130" i="6"/>
  <c r="W4" i="6"/>
  <c r="AI28" i="1"/>
  <c r="V134" i="6"/>
  <c r="X134" i="6"/>
  <c r="I134" i="6" s="1"/>
  <c r="L28" i="6"/>
  <c r="H4" i="6"/>
  <c r="E4" i="5" s="1"/>
  <c r="H159" i="6"/>
  <c r="E13" i="5" s="1"/>
  <c r="H91" i="6"/>
  <c r="E9" i="5" s="1"/>
  <c r="H123" i="6"/>
  <c r="E10" i="5" s="1"/>
  <c r="H143" i="6"/>
  <c r="E12" i="5" s="1"/>
  <c r="H130" i="6"/>
  <c r="E11" i="5" s="1"/>
  <c r="Q179" i="6"/>
  <c r="AI30" i="1"/>
  <c r="H84" i="6"/>
  <c r="E8" i="5" s="1"/>
  <c r="AI29" i="1"/>
  <c r="K44" i="1" l="1"/>
  <c r="N44" i="1" s="1"/>
  <c r="Y16" i="7"/>
  <c r="Y140" i="6"/>
  <c r="M116" i="1"/>
  <c r="A116" i="1" s="1"/>
  <c r="M87" i="1"/>
  <c r="A87" i="1" s="1"/>
  <c r="M90" i="1"/>
  <c r="A90" i="1" s="1"/>
  <c r="M89" i="1"/>
  <c r="A89" i="1" s="1"/>
  <c r="M88" i="1"/>
  <c r="A88" i="1" s="1"/>
  <c r="M47" i="1"/>
  <c r="A47" i="1" s="1"/>
  <c r="K118" i="1"/>
  <c r="N118" i="1" s="1"/>
  <c r="K46" i="1"/>
  <c r="N46" i="1" s="1"/>
  <c r="K117" i="1"/>
  <c r="N117" i="1" s="1"/>
  <c r="K119" i="1"/>
  <c r="N119" i="1" s="1"/>
  <c r="K120" i="1"/>
  <c r="N120" i="1" s="1"/>
  <c r="K45" i="1"/>
  <c r="N45" i="1" s="1"/>
  <c r="N86" i="6"/>
  <c r="X86" i="6" s="1"/>
  <c r="AI86" i="1" s="1"/>
  <c r="I168" i="7"/>
  <c r="J168" i="7" s="1"/>
  <c r="X156" i="7"/>
  <c r="H5" i="7"/>
  <c r="L4" i="5" s="1"/>
  <c r="L48" i="7"/>
  <c r="L9" i="5"/>
  <c r="Y134" i="6"/>
  <c r="I83" i="7"/>
  <c r="J83" i="7" s="1"/>
  <c r="J127" i="1"/>
  <c r="I155" i="7"/>
  <c r="J155" i="7" s="1"/>
  <c r="I99" i="1"/>
  <c r="I167" i="7"/>
  <c r="J167" i="7" s="1"/>
  <c r="J122" i="1"/>
  <c r="I102" i="7"/>
  <c r="J102" i="7" s="1"/>
  <c r="I101" i="1"/>
  <c r="I186" i="7"/>
  <c r="J186" i="7" s="1"/>
  <c r="X188" i="7"/>
  <c r="I192" i="7"/>
  <c r="J192" i="7" s="1"/>
  <c r="I239" i="7"/>
  <c r="J239" i="7" s="1"/>
  <c r="I94" i="1"/>
  <c r="I112" i="7"/>
  <c r="J112" i="7" s="1"/>
  <c r="I139" i="7"/>
  <c r="J139" i="7" s="1"/>
  <c r="I98" i="1"/>
  <c r="I154" i="7"/>
  <c r="J154" i="7" s="1"/>
  <c r="I102" i="1"/>
  <c r="I191" i="7"/>
  <c r="J191" i="7" s="1"/>
  <c r="X241" i="7"/>
  <c r="X240" i="7" s="1"/>
  <c r="J253" i="7"/>
  <c r="W252" i="7"/>
  <c r="X222" i="7"/>
  <c r="J234" i="7"/>
  <c r="J233" i="7"/>
  <c r="W222" i="7"/>
  <c r="W175" i="7"/>
  <c r="X175" i="7"/>
  <c r="J130" i="1"/>
  <c r="J187" i="7"/>
  <c r="X174" i="7"/>
  <c r="J150" i="7"/>
  <c r="J126" i="1"/>
  <c r="X141" i="7"/>
  <c r="W141" i="7"/>
  <c r="I97" i="1"/>
  <c r="J149" i="7"/>
  <c r="J123" i="7"/>
  <c r="J124" i="1"/>
  <c r="X114" i="7"/>
  <c r="I95" i="1"/>
  <c r="W114" i="7"/>
  <c r="J122" i="7"/>
  <c r="J220" i="7"/>
  <c r="W209" i="7"/>
  <c r="J173" i="7"/>
  <c r="I100" i="1"/>
  <c r="W235" i="7"/>
  <c r="J271" i="7"/>
  <c r="W93" i="7"/>
  <c r="W84" i="7" s="1"/>
  <c r="I93" i="1"/>
  <c r="W280" i="7"/>
  <c r="W279" i="7" s="1"/>
  <c r="J92" i="7"/>
  <c r="I92" i="1"/>
  <c r="AI68" i="1"/>
  <c r="AH64" i="1"/>
  <c r="AH63" i="1"/>
  <c r="Q284" i="7"/>
  <c r="Q290" i="7"/>
  <c r="AI75" i="1"/>
  <c r="AI72" i="1"/>
  <c r="Q287" i="7"/>
  <c r="Q288" i="7"/>
  <c r="AI73" i="1"/>
  <c r="AI74" i="1"/>
  <c r="Q289" i="7"/>
  <c r="J128" i="1"/>
  <c r="W156" i="7"/>
  <c r="W124" i="7"/>
  <c r="I96" i="1" s="1"/>
  <c r="J131" i="1"/>
  <c r="X113" i="7"/>
  <c r="J101" i="7"/>
  <c r="W268" i="7"/>
  <c r="X235" i="7"/>
  <c r="W170" i="7"/>
  <c r="J238" i="7"/>
  <c r="X93" i="7"/>
  <c r="X84" i="7" s="1"/>
  <c r="W151" i="7"/>
  <c r="W188" i="7"/>
  <c r="W104" i="7"/>
  <c r="X151" i="7"/>
  <c r="J121" i="1"/>
  <c r="I91" i="1"/>
  <c r="J34" i="7"/>
  <c r="I34" i="7"/>
  <c r="H43" i="1"/>
  <c r="Y89" i="1" s="1"/>
  <c r="AC89" i="1" s="1"/>
  <c r="X130" i="6"/>
  <c r="X74" i="7"/>
  <c r="J134" i="6"/>
  <c r="H183" i="6"/>
  <c r="M44" i="1" l="1"/>
  <c r="A44" i="1" s="1"/>
  <c r="M45" i="1"/>
  <c r="A45" i="1" s="1"/>
  <c r="M117" i="1"/>
  <c r="A117" i="1" s="1"/>
  <c r="M120" i="1"/>
  <c r="A120" i="1" s="1"/>
  <c r="M46" i="1"/>
  <c r="A46" i="1" s="1"/>
  <c r="M119" i="1"/>
  <c r="A119" i="1" s="1"/>
  <c r="M118" i="1"/>
  <c r="A118" i="1" s="1"/>
  <c r="X85" i="6"/>
  <c r="I85" i="6" s="1"/>
  <c r="J85" i="6" s="1"/>
  <c r="K131" i="1"/>
  <c r="N131" i="1" s="1"/>
  <c r="K92" i="1"/>
  <c r="N92" i="1" s="1"/>
  <c r="K93" i="1"/>
  <c r="N93" i="1" s="1"/>
  <c r="K130" i="1"/>
  <c r="N130" i="1" s="1"/>
  <c r="K94" i="1"/>
  <c r="N94" i="1" s="1"/>
  <c r="K91" i="1"/>
  <c r="N91" i="1" s="1"/>
  <c r="K121" i="1"/>
  <c r="N121" i="1" s="1"/>
  <c r="K96" i="1"/>
  <c r="N96" i="1" s="1"/>
  <c r="K95" i="1"/>
  <c r="N95" i="1" s="1"/>
  <c r="K126" i="1"/>
  <c r="N126" i="1" s="1"/>
  <c r="K98" i="1"/>
  <c r="N98" i="1" s="1"/>
  <c r="K101" i="1"/>
  <c r="K99" i="1"/>
  <c r="N99" i="1" s="1"/>
  <c r="K43" i="1"/>
  <c r="K100" i="1"/>
  <c r="N100" i="1" s="1"/>
  <c r="K97" i="1"/>
  <c r="N97" i="1" s="1"/>
  <c r="K128" i="1"/>
  <c r="N128" i="1" s="1"/>
  <c r="K124" i="1"/>
  <c r="N124" i="1" s="1"/>
  <c r="K102" i="1"/>
  <c r="N102" i="1" s="1"/>
  <c r="K122" i="1"/>
  <c r="N122" i="1" s="1"/>
  <c r="K127" i="1"/>
  <c r="N127" i="1" s="1"/>
  <c r="H4" i="7"/>
  <c r="J123" i="1"/>
  <c r="I113" i="7"/>
  <c r="J113" i="7" s="1"/>
  <c r="J129" i="1"/>
  <c r="I174" i="7"/>
  <c r="J174" i="7" s="1"/>
  <c r="I252" i="7"/>
  <c r="J252" i="7" s="1"/>
  <c r="X170" i="7"/>
  <c r="AI70" i="1"/>
  <c r="Q285" i="7"/>
  <c r="Q282" i="7"/>
  <c r="AI67" i="1"/>
  <c r="Q286" i="7"/>
  <c r="AI71" i="1"/>
  <c r="V159" i="7"/>
  <c r="AI46" i="1" s="1"/>
  <c r="W267" i="7"/>
  <c r="X104" i="7"/>
  <c r="W103" i="7"/>
  <c r="W169" i="7"/>
  <c r="J82" i="7"/>
  <c r="W74" i="7"/>
  <c r="X73" i="7"/>
  <c r="Z51" i="7" l="1"/>
  <c r="N52" i="7" s="1"/>
  <c r="Z46" i="7"/>
  <c r="N47" i="7" s="1"/>
  <c r="AA95" i="1"/>
  <c r="BD20" i="1"/>
  <c r="BF20" i="1" s="1"/>
  <c r="BD72" i="1"/>
  <c r="BF72" i="1" s="1"/>
  <c r="AA94" i="1"/>
  <c r="BD71" i="1"/>
  <c r="BF71" i="1" s="1"/>
  <c r="BD19" i="1"/>
  <c r="BF19" i="1" s="1"/>
  <c r="M124" i="1"/>
  <c r="A124" i="1" s="1"/>
  <c r="M96" i="1"/>
  <c r="A96" i="1" s="1"/>
  <c r="M93" i="1"/>
  <c r="A93" i="1" s="1"/>
  <c r="M127" i="1"/>
  <c r="A127" i="1" s="1"/>
  <c r="M128" i="1"/>
  <c r="A128" i="1" s="1"/>
  <c r="M100" i="1"/>
  <c r="A100" i="1" s="1"/>
  <c r="M94" i="1"/>
  <c r="A94" i="1" s="1"/>
  <c r="M92" i="1"/>
  <c r="A92" i="1" s="1"/>
  <c r="M122" i="1"/>
  <c r="A122" i="1" s="1"/>
  <c r="M99" i="1"/>
  <c r="A99" i="1" s="1"/>
  <c r="M126" i="1"/>
  <c r="A126" i="1" s="1"/>
  <c r="M121" i="1"/>
  <c r="A121" i="1" s="1"/>
  <c r="M130" i="1"/>
  <c r="A130" i="1" s="1"/>
  <c r="M131" i="1"/>
  <c r="A131" i="1" s="1"/>
  <c r="M97" i="1"/>
  <c r="A97" i="1" s="1"/>
  <c r="M98" i="1"/>
  <c r="A98" i="1" s="1"/>
  <c r="M102" i="1"/>
  <c r="A102" i="1" s="1"/>
  <c r="M95" i="1"/>
  <c r="A95" i="1" s="1"/>
  <c r="M91" i="1"/>
  <c r="A91" i="1" s="1"/>
  <c r="Y85" i="6"/>
  <c r="K129" i="1"/>
  <c r="N129" i="1" s="1"/>
  <c r="K123" i="1"/>
  <c r="N123" i="1" s="1"/>
  <c r="V40" i="6"/>
  <c r="X169" i="7"/>
  <c r="V145" i="7"/>
  <c r="W73" i="7"/>
  <c r="W4" i="7" s="1"/>
  <c r="V47" i="7" l="1"/>
  <c r="V46" i="7" s="1"/>
  <c r="I46" i="7" s="1"/>
  <c r="V52" i="7"/>
  <c r="V51" i="7" s="1"/>
  <c r="I51" i="7" s="1"/>
  <c r="M129" i="1"/>
  <c r="A129" i="1" s="1"/>
  <c r="M123" i="1"/>
  <c r="A123" i="1" s="1"/>
  <c r="I40" i="6"/>
  <c r="Y40" i="6"/>
  <c r="Y39" i="6" s="1"/>
  <c r="V39" i="6"/>
  <c r="A15" i="13"/>
  <c r="A15" i="14"/>
  <c r="C13" i="14"/>
  <c r="F6" i="14"/>
  <c r="D22" i="14" s="1"/>
  <c r="D6" i="14"/>
  <c r="D4" i="14"/>
  <c r="A21" i="14" s="1"/>
  <c r="C13" i="13"/>
  <c r="F6" i="13"/>
  <c r="D22" i="13" s="1"/>
  <c r="D6" i="13"/>
  <c r="D4" i="13"/>
  <c r="A21" i="13" s="1"/>
  <c r="F6" i="9"/>
  <c r="D18" i="9" s="1"/>
  <c r="D6" i="9"/>
  <c r="C12" i="9"/>
  <c r="D4" i="9"/>
  <c r="A17" i="9" s="1"/>
  <c r="D9" i="4"/>
  <c r="D5" i="4"/>
  <c r="B9" i="3"/>
  <c r="A1" i="16" s="1"/>
  <c r="E2" i="3"/>
  <c r="V158" i="7"/>
  <c r="AH26" i="1"/>
  <c r="L61" i="6"/>
  <c r="AH43" i="1"/>
  <c r="AH54" i="1"/>
  <c r="R160" i="7"/>
  <c r="Y46" i="7" l="1"/>
  <c r="H48" i="1"/>
  <c r="Y51" i="7"/>
  <c r="H49" i="1"/>
  <c r="V45" i="7"/>
  <c r="Y45" i="7" s="1"/>
  <c r="J40" i="6"/>
  <c r="J39" i="6" s="1"/>
  <c r="G5" i="5" s="1"/>
  <c r="I39" i="6"/>
  <c r="F5" i="5" s="1"/>
  <c r="R163" i="7"/>
  <c r="V163" i="7" s="1"/>
  <c r="AI50" i="1" s="1"/>
  <c r="R162" i="7"/>
  <c r="V162" i="7" s="1"/>
  <c r="AI49" i="1" s="1"/>
  <c r="R165" i="7"/>
  <c r="V165" i="7" s="1"/>
  <c r="AI52" i="1" s="1"/>
  <c r="R161" i="7"/>
  <c r="V161" i="7" s="1"/>
  <c r="AI48" i="1" s="1"/>
  <c r="R164" i="7"/>
  <c r="AI45" i="1"/>
  <c r="J46" i="7"/>
  <c r="J51" i="7"/>
  <c r="I45" i="7"/>
  <c r="L81" i="6"/>
  <c r="L73" i="6"/>
  <c r="L53" i="6"/>
  <c r="Q184" i="6"/>
  <c r="Q308" i="7"/>
  <c r="AL27" i="6"/>
  <c r="E17" i="5"/>
  <c r="B24" i="4"/>
  <c r="L18" i="5"/>
  <c r="Y95" i="1" l="1"/>
  <c r="AC95" i="1" s="1"/>
  <c r="AE11" i="1"/>
  <c r="Y94" i="1"/>
  <c r="AC94" i="1" s="1"/>
  <c r="AF11" i="1"/>
  <c r="K48" i="1"/>
  <c r="K49" i="1"/>
  <c r="J45" i="7"/>
  <c r="J38" i="1"/>
  <c r="J37" i="1"/>
  <c r="H8" i="1"/>
  <c r="J35" i="1"/>
  <c r="K35" i="1" l="1"/>
  <c r="N35" i="1" s="1"/>
  <c r="K37" i="1"/>
  <c r="N37" i="1" s="1"/>
  <c r="K8" i="1"/>
  <c r="N8" i="1" s="1"/>
  <c r="K38" i="1"/>
  <c r="N38" i="1" s="1"/>
  <c r="M38" i="1" l="1"/>
  <c r="A38" i="1" s="1"/>
  <c r="M8" i="1"/>
  <c r="A8" i="1" s="1"/>
  <c r="M37" i="1"/>
  <c r="A37" i="1" s="1"/>
  <c r="M35" i="1"/>
  <c r="A35" i="1" s="1"/>
  <c r="N89" i="6" l="1"/>
  <c r="X89" i="6" s="1"/>
  <c r="X88" i="6" s="1"/>
  <c r="I88" i="6" s="1"/>
  <c r="J36" i="1" l="1"/>
  <c r="Y88" i="6"/>
  <c r="Y84" i="6" s="1"/>
  <c r="X84" i="6"/>
  <c r="AI89" i="1"/>
  <c r="K36" i="1" l="1"/>
  <c r="I84" i="6"/>
  <c r="F8" i="5" s="1"/>
  <c r="J88" i="6"/>
  <c r="J84" i="6" s="1"/>
  <c r="G8" i="5" s="1"/>
  <c r="W147" i="6"/>
  <c r="I147" i="6" s="1"/>
  <c r="W143" i="6" l="1"/>
  <c r="Y147" i="6"/>
  <c r="I33" i="1"/>
  <c r="J147" i="6"/>
  <c r="K33" i="1" l="1"/>
  <c r="AH61" i="1" l="1"/>
  <c r="AH62" i="1"/>
  <c r="N284" i="7" l="1"/>
  <c r="V284" i="7" s="1"/>
  <c r="AI69" i="1" s="1"/>
  <c r="D26" i="15" l="1"/>
  <c r="P55" i="1" s="1"/>
  <c r="D3" i="15"/>
  <c r="T55" i="1" l="1"/>
  <c r="Z199" i="7" s="1"/>
  <c r="Z172" i="6" l="1"/>
  <c r="N173" i="6" s="1"/>
  <c r="V173" i="6" s="1"/>
  <c r="V172" i="6" s="1"/>
  <c r="I172" i="6" s="1"/>
  <c r="J172" i="6" s="1"/>
  <c r="H27" i="1" l="1"/>
  <c r="AE76" i="1" s="1"/>
  <c r="AE77" i="1" s="1"/>
  <c r="Y172" i="6"/>
  <c r="U26" i="1"/>
  <c r="G12" i="17" s="1"/>
  <c r="U25" i="1"/>
  <c r="G11" i="17" s="1"/>
  <c r="U23" i="1"/>
  <c r="G9" i="17" s="1"/>
  <c r="U15" i="1"/>
  <c r="E11" i="17" s="1"/>
  <c r="U14" i="1"/>
  <c r="E10" i="17" s="1"/>
  <c r="U18" i="1"/>
  <c r="F9" i="17" s="1"/>
  <c r="U16" i="1"/>
  <c r="E12" i="17" s="1"/>
  <c r="U10" i="1"/>
  <c r="D11" i="17" s="1"/>
  <c r="U11" i="1"/>
  <c r="D12" i="17" s="1"/>
  <c r="U8" i="1"/>
  <c r="D9" i="17" s="1"/>
  <c r="AF22" i="6" l="1"/>
  <c r="AA22" i="6" s="1"/>
  <c r="AF10" i="6"/>
  <c r="AA10" i="6" s="1"/>
  <c r="Z10" i="6" s="1"/>
  <c r="AF13" i="6"/>
  <c r="AA13" i="6" s="1"/>
  <c r="Z13" i="6" s="1"/>
  <c r="AF24" i="6"/>
  <c r="AA24" i="6" s="1"/>
  <c r="Z24" i="6" s="1"/>
  <c r="AF9" i="6"/>
  <c r="AA9" i="6" s="1"/>
  <c r="Z9" i="6" s="1"/>
  <c r="AF14" i="6"/>
  <c r="AA14" i="6" s="1"/>
  <c r="AF25" i="6"/>
  <c r="AA25" i="6" s="1"/>
  <c r="Z25" i="6" s="1"/>
  <c r="AF15" i="6"/>
  <c r="AA15" i="6" s="1"/>
  <c r="AF7" i="6"/>
  <c r="AA7" i="6" s="1"/>
  <c r="AF17" i="6"/>
  <c r="AA17" i="6" s="1"/>
  <c r="Z17" i="6" s="1"/>
  <c r="K27" i="1"/>
  <c r="U13" i="1"/>
  <c r="E9" i="17" s="1"/>
  <c r="P17" i="1"/>
  <c r="U17" i="1" s="1"/>
  <c r="P9" i="1"/>
  <c r="U9" i="1" s="1"/>
  <c r="AF111" i="6"/>
  <c r="AA111" i="6" s="1"/>
  <c r="AF112" i="6"/>
  <c r="AA112" i="6" s="1"/>
  <c r="U24" i="1"/>
  <c r="U22" i="1"/>
  <c r="G8" i="17" s="1"/>
  <c r="AF109" i="6"/>
  <c r="AA109" i="6" s="1"/>
  <c r="AF104" i="6"/>
  <c r="AA104" i="6" s="1"/>
  <c r="AF100" i="6"/>
  <c r="AA100" i="6" s="1"/>
  <c r="AF101" i="6"/>
  <c r="AA101" i="6" s="1"/>
  <c r="AF102" i="6"/>
  <c r="AA102" i="6" s="1"/>
  <c r="U12" i="1"/>
  <c r="AF97" i="6"/>
  <c r="AA97" i="6" s="1"/>
  <c r="AF96" i="6"/>
  <c r="AA96" i="6" s="1"/>
  <c r="AF94" i="6"/>
  <c r="AL22" i="6" l="1"/>
  <c r="AL13" i="6"/>
  <c r="AF23" i="6"/>
  <c r="AA23" i="6" s="1"/>
  <c r="AF21" i="6"/>
  <c r="AA21" i="6" s="1"/>
  <c r="AF12" i="6"/>
  <c r="AA12" i="6" s="1"/>
  <c r="Z12" i="6" s="1"/>
  <c r="AL10" i="6"/>
  <c r="AL17" i="6"/>
  <c r="AF16" i="6"/>
  <c r="AA16" i="6" s="1"/>
  <c r="AA94" i="6"/>
  <c r="AF11" i="6"/>
  <c r="AA11" i="6" s="1"/>
  <c r="Z11" i="6" s="1"/>
  <c r="AL7" i="6"/>
  <c r="AF8" i="6"/>
  <c r="AA8" i="6" s="1"/>
  <c r="AL24" i="6"/>
  <c r="AL9" i="6"/>
  <c r="AL109" i="6"/>
  <c r="AL111" i="6"/>
  <c r="Z111" i="6"/>
  <c r="Z112" i="6"/>
  <c r="AL100" i="6"/>
  <c r="AL96" i="6"/>
  <c r="Z96" i="6"/>
  <c r="AL97" i="6"/>
  <c r="Z97" i="6"/>
  <c r="AF99" i="6"/>
  <c r="AA99" i="6" s="1"/>
  <c r="L164" i="7"/>
  <c r="AH51" i="1" s="1"/>
  <c r="P164" i="7"/>
  <c r="AF95" i="6"/>
  <c r="AA95" i="6" s="1"/>
  <c r="AF108" i="6"/>
  <c r="AA108" i="6" s="1"/>
  <c r="AF110" i="6"/>
  <c r="AA110" i="6" s="1"/>
  <c r="AF98" i="6"/>
  <c r="AA98" i="6" s="1"/>
  <c r="AF103" i="6"/>
  <c r="AA103" i="6" s="1"/>
  <c r="AL104" i="6"/>
  <c r="AL94" i="6"/>
  <c r="AL23" i="6" l="1"/>
  <c r="AL21" i="6"/>
  <c r="V164" i="7"/>
  <c r="AI51" i="1" s="1"/>
  <c r="O164" i="7"/>
  <c r="AL11" i="6"/>
  <c r="AL8" i="6"/>
  <c r="AL108" i="6"/>
  <c r="AL98" i="6"/>
  <c r="Z98" i="6"/>
  <c r="Z22" i="6"/>
  <c r="AL99" i="6"/>
  <c r="Z21" i="6"/>
  <c r="AL95" i="6"/>
  <c r="Z23" i="6"/>
  <c r="AL12" i="6"/>
  <c r="AL110" i="6"/>
  <c r="U27" i="1"/>
  <c r="D1" i="15"/>
  <c r="D45" i="15" s="1"/>
  <c r="P81" i="1" s="1"/>
  <c r="H8" i="17" l="1"/>
  <c r="Z54" i="1"/>
  <c r="C44" i="17" s="1"/>
  <c r="AF26" i="6"/>
  <c r="AA26" i="6" s="1"/>
  <c r="Z26" i="6" s="1"/>
  <c r="Z104" i="6"/>
  <c r="Z99" i="6"/>
  <c r="Z100" i="6"/>
  <c r="Z108" i="6"/>
  <c r="Z109" i="6"/>
  <c r="Z110" i="6"/>
  <c r="D17" i="15"/>
  <c r="P46" i="1" s="1"/>
  <c r="D53" i="15"/>
  <c r="P89" i="1" s="1"/>
  <c r="D51" i="15"/>
  <c r="P87" i="1" s="1"/>
  <c r="D47" i="15"/>
  <c r="P83" i="1" s="1"/>
  <c r="D38" i="15"/>
  <c r="P74" i="1" s="1"/>
  <c r="T81" i="1"/>
  <c r="Z151" i="7" s="1"/>
  <c r="D40" i="15"/>
  <c r="P76" i="1" s="1"/>
  <c r="D54" i="15"/>
  <c r="P90" i="1" s="1"/>
  <c r="D41" i="15"/>
  <c r="P77" i="1" s="1"/>
  <c r="D27" i="15"/>
  <c r="P56" i="1" s="1"/>
  <c r="D65" i="15"/>
  <c r="D55" i="15"/>
  <c r="P91" i="1" s="1"/>
  <c r="D56" i="15"/>
  <c r="P92" i="1" s="1"/>
  <c r="D6" i="15"/>
  <c r="P37" i="1" s="1"/>
  <c r="D66" i="15"/>
  <c r="D49" i="15"/>
  <c r="P85" i="1" s="1"/>
  <c r="D23" i="15"/>
  <c r="P52" i="1" s="1"/>
  <c r="T95" i="1"/>
  <c r="Z268" i="7" s="1"/>
  <c r="T97" i="1"/>
  <c r="Z276" i="7" s="1"/>
  <c r="D4" i="15"/>
  <c r="P35" i="1" s="1"/>
  <c r="D30" i="15"/>
  <c r="D29" i="15"/>
  <c r="AB39" i="15"/>
  <c r="D28" i="15"/>
  <c r="D33" i="15"/>
  <c r="AB42" i="15"/>
  <c r="D21" i="15"/>
  <c r="V39" i="15"/>
  <c r="D16" i="15"/>
  <c r="D12" i="15"/>
  <c r="P42" i="1" s="1"/>
  <c r="D34" i="15"/>
  <c r="Y42" i="15"/>
  <c r="D42" i="15" s="1"/>
  <c r="P78" i="1" s="1"/>
  <c r="D31" i="15"/>
  <c r="D13" i="15"/>
  <c r="D10" i="15"/>
  <c r="P40" i="1" s="1"/>
  <c r="Y39" i="15"/>
  <c r="D39" i="15" s="1"/>
  <c r="P75" i="1" s="1"/>
  <c r="Y46" i="15"/>
  <c r="D46" i="15" s="1"/>
  <c r="P82" i="1" s="1"/>
  <c r="Y43" i="15"/>
  <c r="D43" i="15" s="1"/>
  <c r="P79" i="1" s="1"/>
  <c r="D25" i="15"/>
  <c r="AF113" i="6"/>
  <c r="Y48" i="15"/>
  <c r="D48" i="15" s="1"/>
  <c r="P84" i="1" s="1"/>
  <c r="D2" i="15"/>
  <c r="V43" i="15"/>
  <c r="D11" i="15"/>
  <c r="P41" i="1" s="1"/>
  <c r="D15" i="15"/>
  <c r="D22" i="15"/>
  <c r="D9" i="15"/>
  <c r="P39" i="1" s="1"/>
  <c r="D5" i="15"/>
  <c r="P36" i="1" s="1"/>
  <c r="T100" i="1"/>
  <c r="Z296" i="7" s="1"/>
  <c r="V299" i="7" s="1"/>
  <c r="D20" i="15"/>
  <c r="P49" i="1" s="1"/>
  <c r="T93" i="1"/>
  <c r="Z261" i="7" s="1"/>
  <c r="D14" i="15"/>
  <c r="D8" i="15"/>
  <c r="P38" i="1" s="1"/>
  <c r="T38" i="1" s="1"/>
  <c r="D24" i="15"/>
  <c r="P53" i="1" s="1"/>
  <c r="D18" i="15"/>
  <c r="D19" i="15"/>
  <c r="P48" i="1" s="1"/>
  <c r="D35" i="15"/>
  <c r="D36" i="15"/>
  <c r="AB43" i="15"/>
  <c r="V42" i="15"/>
  <c r="V48" i="15"/>
  <c r="D7" i="15"/>
  <c r="D37" i="15"/>
  <c r="D32" i="15"/>
  <c r="Y44" i="15"/>
  <c r="D44" i="15" s="1"/>
  <c r="P80" i="1" s="1"/>
  <c r="T60" i="1" l="1"/>
  <c r="Z76" i="6" s="1"/>
  <c r="T101" i="1"/>
  <c r="T89" i="1"/>
  <c r="Z235" i="7" s="1"/>
  <c r="N236" i="7" s="1"/>
  <c r="V236" i="7" s="1"/>
  <c r="V235" i="7" s="1"/>
  <c r="T92" i="1"/>
  <c r="T91" i="1"/>
  <c r="T53" i="1"/>
  <c r="V161" i="6" s="1"/>
  <c r="V160" i="6" s="1"/>
  <c r="T52" i="1"/>
  <c r="V157" i="6" s="1"/>
  <c r="V156" i="6" s="1"/>
  <c r="T48" i="1"/>
  <c r="N132" i="6" s="1"/>
  <c r="V132" i="6" s="1"/>
  <c r="V131" i="6" s="1"/>
  <c r="T47" i="1"/>
  <c r="N128" i="6" s="1"/>
  <c r="V128" i="6" s="1"/>
  <c r="V127" i="6" s="1"/>
  <c r="T42" i="1"/>
  <c r="T41" i="1"/>
  <c r="T40" i="1"/>
  <c r="T39" i="1"/>
  <c r="N45" i="6"/>
  <c r="V45" i="6" s="1"/>
  <c r="V44" i="6" s="1"/>
  <c r="T36" i="1"/>
  <c r="N34" i="6" s="1"/>
  <c r="V34" i="6" s="1"/>
  <c r="V33" i="6" s="1"/>
  <c r="T35" i="1"/>
  <c r="N31" i="6" s="1"/>
  <c r="V31" i="6" s="1"/>
  <c r="V30" i="6" s="1"/>
  <c r="T84" i="1"/>
  <c r="Z175" i="7" s="1"/>
  <c r="T82" i="1"/>
  <c r="Z156" i="7" s="1"/>
  <c r="AI43" i="1" s="1"/>
  <c r="T77" i="1"/>
  <c r="Z104" i="7" s="1"/>
  <c r="AC34" i="1" s="1"/>
  <c r="T74" i="1"/>
  <c r="Z74" i="7" s="1"/>
  <c r="AI35" i="1" s="1"/>
  <c r="T78" i="1"/>
  <c r="Z114" i="7" s="1"/>
  <c r="Y42" i="1" s="1"/>
  <c r="T85" i="1"/>
  <c r="Z188" i="7" s="1"/>
  <c r="N189" i="7" s="1"/>
  <c r="V189" i="7" s="1"/>
  <c r="V188" i="7" s="1"/>
  <c r="T90" i="1"/>
  <c r="Z241" i="7" s="1"/>
  <c r="AI54" i="1" s="1"/>
  <c r="T83" i="1"/>
  <c r="Z170" i="7" s="1"/>
  <c r="N171" i="7" s="1"/>
  <c r="V171" i="7" s="1"/>
  <c r="V170" i="7" s="1"/>
  <c r="T80" i="1"/>
  <c r="Z141" i="7" s="1"/>
  <c r="T54" i="1"/>
  <c r="N164" i="6" s="1"/>
  <c r="V164" i="6" s="1"/>
  <c r="V163" i="6" s="1"/>
  <c r="T102" i="1"/>
  <c r="T76" i="1"/>
  <c r="Z93" i="7" s="1"/>
  <c r="AA34" i="1" s="1"/>
  <c r="AA35" i="1" s="1"/>
  <c r="N94" i="7" s="1"/>
  <c r="T87" i="1"/>
  <c r="Z209" i="7" s="1"/>
  <c r="AA113" i="6"/>
  <c r="Y52" i="15"/>
  <c r="AB52" i="15"/>
  <c r="G52" i="15"/>
  <c r="V52" i="15"/>
  <c r="M52" i="15"/>
  <c r="J52" i="15"/>
  <c r="S52" i="15"/>
  <c r="P52" i="15"/>
  <c r="T56" i="1"/>
  <c r="Z175" i="6" s="1"/>
  <c r="AI26" i="1" s="1"/>
  <c r="AE25" i="1" s="1"/>
  <c r="T58" i="1" s="1"/>
  <c r="Z56" i="6" s="1"/>
  <c r="T75" i="1"/>
  <c r="Z84" i="7" s="1"/>
  <c r="N262" i="7"/>
  <c r="V262" i="7" s="1"/>
  <c r="V261" i="7" s="1"/>
  <c r="N277" i="7"/>
  <c r="V277" i="7" s="1"/>
  <c r="V276" i="7" s="1"/>
  <c r="N152" i="7"/>
  <c r="V152" i="7" s="1"/>
  <c r="V151" i="7" s="1"/>
  <c r="N269" i="7"/>
  <c r="V269" i="7" s="1"/>
  <c r="V268" i="7" s="1"/>
  <c r="T79" i="1"/>
  <c r="Z124" i="7" s="1"/>
  <c r="AC42" i="1" s="1"/>
  <c r="N177" i="7"/>
  <c r="V177" i="7" s="1"/>
  <c r="T37" i="1"/>
  <c r="N37" i="6" s="1"/>
  <c r="V37" i="6" s="1"/>
  <c r="V36" i="6" s="1"/>
  <c r="V296" i="7"/>
  <c r="I299" i="7"/>
  <c r="Z304" i="7" l="1"/>
  <c r="AI94" i="1"/>
  <c r="Z301" i="7"/>
  <c r="N302" i="7" s="1"/>
  <c r="V302" i="7" s="1"/>
  <c r="V301" i="7" s="1"/>
  <c r="I301" i="7" s="1"/>
  <c r="J301" i="7" s="1"/>
  <c r="AI93" i="1"/>
  <c r="AC74" i="1"/>
  <c r="AC75" i="1" s="1"/>
  <c r="N77" i="6" s="1"/>
  <c r="W77" i="6" s="1"/>
  <c r="W76" i="6" s="1"/>
  <c r="AA74" i="1"/>
  <c r="AA75" i="1" s="1"/>
  <c r="N57" i="6" s="1"/>
  <c r="W57" i="6" s="1"/>
  <c r="W56" i="6" s="1"/>
  <c r="Y64" i="1"/>
  <c r="Y63" i="1"/>
  <c r="Y44" i="1"/>
  <c r="N116" i="7" s="1"/>
  <c r="V116" i="7" s="1"/>
  <c r="Y46" i="1"/>
  <c r="Y45" i="1"/>
  <c r="Z113" i="6"/>
  <c r="AE42" i="1"/>
  <c r="AE44" i="1" s="1"/>
  <c r="H34" i="17" s="1"/>
  <c r="AE50" i="1"/>
  <c r="AC50" i="1"/>
  <c r="AC51" i="1" s="1"/>
  <c r="N176" i="7" s="1"/>
  <c r="V176" i="7" s="1"/>
  <c r="V175" i="7" s="1"/>
  <c r="V169" i="7" s="1"/>
  <c r="Y169" i="7" s="1"/>
  <c r="V95" i="7"/>
  <c r="AE24" i="1"/>
  <c r="T57" i="1" s="1"/>
  <c r="Z48" i="6" s="1"/>
  <c r="N65" i="6"/>
  <c r="W65" i="6" s="1"/>
  <c r="W64" i="6" s="1"/>
  <c r="N205" i="7"/>
  <c r="W205" i="7" s="1"/>
  <c r="W204" i="7" s="1"/>
  <c r="W195" i="7" s="1"/>
  <c r="H25" i="1"/>
  <c r="K25" i="1" s="1"/>
  <c r="N25" i="1" s="1"/>
  <c r="I160" i="6"/>
  <c r="J160" i="6" s="1"/>
  <c r="Y160" i="6"/>
  <c r="I156" i="6"/>
  <c r="H24" i="1"/>
  <c r="K24" i="1" s="1"/>
  <c r="N24" i="1" s="1"/>
  <c r="Y156" i="6"/>
  <c r="H20" i="1"/>
  <c r="K20" i="1" s="1"/>
  <c r="N20" i="1" s="1"/>
  <c r="Y131" i="6"/>
  <c r="I131" i="6"/>
  <c r="J131" i="6" s="1"/>
  <c r="Y127" i="6"/>
  <c r="I127" i="6"/>
  <c r="J127" i="6" s="1"/>
  <c r="H19" i="1"/>
  <c r="K19" i="1" s="1"/>
  <c r="N19" i="1" s="1"/>
  <c r="AC29" i="1"/>
  <c r="N81" i="6" s="1"/>
  <c r="V81" i="6" s="1"/>
  <c r="V80" i="6" s="1"/>
  <c r="AC28" i="1" s="1"/>
  <c r="Z80" i="6"/>
  <c r="AA29" i="1"/>
  <c r="N73" i="6" s="1"/>
  <c r="V73" i="6" s="1"/>
  <c r="V72" i="6" s="1"/>
  <c r="AA28" i="1" s="1"/>
  <c r="Z72" i="6"/>
  <c r="AC25" i="1"/>
  <c r="N61" i="6" s="1"/>
  <c r="V61" i="6" s="1"/>
  <c r="V60" i="6" s="1"/>
  <c r="AC24" i="1" s="1"/>
  <c r="Z60" i="6"/>
  <c r="AA25" i="1"/>
  <c r="N53" i="6" s="1"/>
  <c r="V53" i="6" s="1"/>
  <c r="V52" i="6" s="1"/>
  <c r="AA24" i="1" s="1"/>
  <c r="Z52" i="6"/>
  <c r="V43" i="6"/>
  <c r="H9" i="1"/>
  <c r="K9" i="1" s="1"/>
  <c r="N9" i="1" s="1"/>
  <c r="I44" i="6"/>
  <c r="J44" i="6" s="1"/>
  <c r="J43" i="6" s="1"/>
  <c r="G6" i="5" s="1"/>
  <c r="Y44" i="6"/>
  <c r="Y43" i="6" s="1"/>
  <c r="H6" i="1"/>
  <c r="K6" i="1" s="1"/>
  <c r="I33" i="6"/>
  <c r="J33" i="6" s="1"/>
  <c r="Y33" i="6"/>
  <c r="Y30" i="6"/>
  <c r="H5" i="1"/>
  <c r="K5" i="1" s="1"/>
  <c r="I30" i="6"/>
  <c r="J30" i="6" s="1"/>
  <c r="H26" i="1"/>
  <c r="K26" i="1" s="1"/>
  <c r="Y163" i="6"/>
  <c r="I163" i="6"/>
  <c r="J163" i="6" s="1"/>
  <c r="V94" i="7"/>
  <c r="N76" i="7"/>
  <c r="Y34" i="1"/>
  <c r="Y35" i="1" s="1"/>
  <c r="N85" i="7" s="1"/>
  <c r="V85" i="7" s="1"/>
  <c r="V84" i="7" s="1"/>
  <c r="AC35" i="1"/>
  <c r="N105" i="7" s="1"/>
  <c r="V105" i="7" s="1"/>
  <c r="V104" i="7" s="1"/>
  <c r="I104" i="7" s="1"/>
  <c r="J104" i="7" s="1"/>
  <c r="AA43" i="1"/>
  <c r="V176" i="6"/>
  <c r="AI27" i="1" s="1"/>
  <c r="N136" i="7"/>
  <c r="V136" i="7" s="1"/>
  <c r="N137" i="7"/>
  <c r="V137" i="7" s="1"/>
  <c r="N138" i="7"/>
  <c r="V138" i="7" s="1"/>
  <c r="N129" i="7"/>
  <c r="V129" i="7" s="1"/>
  <c r="N130" i="7"/>
  <c r="V130" i="7" s="1"/>
  <c r="N131" i="7"/>
  <c r="V131" i="7" s="1"/>
  <c r="N121" i="7"/>
  <c r="V121" i="7" s="1"/>
  <c r="P160" i="7"/>
  <c r="N120" i="7"/>
  <c r="V120" i="7" s="1"/>
  <c r="N119" i="7"/>
  <c r="V119" i="7" s="1"/>
  <c r="T154" i="1"/>
  <c r="AB202" i="7" s="1"/>
  <c r="I170" i="7"/>
  <c r="J170" i="7" s="1"/>
  <c r="Y170" i="7"/>
  <c r="H61" i="1"/>
  <c r="K61" i="1" s="1"/>
  <c r="Y276" i="7"/>
  <c r="Y188" i="7"/>
  <c r="H63" i="1"/>
  <c r="I261" i="7"/>
  <c r="J261" i="7" s="1"/>
  <c r="Y261" i="7"/>
  <c r="I276" i="7"/>
  <c r="J276" i="7" s="1"/>
  <c r="Y268" i="7"/>
  <c r="V267" i="7"/>
  <c r="Y267" i="7" s="1"/>
  <c r="I268" i="7"/>
  <c r="J268" i="7" s="1"/>
  <c r="J267" i="7" s="1"/>
  <c r="N11" i="5" s="1"/>
  <c r="Y235" i="7"/>
  <c r="I235" i="7"/>
  <c r="J235" i="7" s="1"/>
  <c r="I151" i="7"/>
  <c r="J151" i="7" s="1"/>
  <c r="H59" i="1"/>
  <c r="K59" i="1" s="1"/>
  <c r="Y151" i="7"/>
  <c r="I188" i="7"/>
  <c r="J188" i="7" s="1"/>
  <c r="N305" i="7"/>
  <c r="V305" i="7" s="1"/>
  <c r="V304" i="7" s="1"/>
  <c r="D52" i="15"/>
  <c r="P88" i="1" s="1"/>
  <c r="J299" i="7"/>
  <c r="H7" i="1"/>
  <c r="I36" i="6"/>
  <c r="J36" i="6" s="1"/>
  <c r="Y36" i="6"/>
  <c r="Y301" i="7" l="1"/>
  <c r="A53" i="17"/>
  <c r="B53" i="17"/>
  <c r="D53" i="17" s="1"/>
  <c r="A35" i="17"/>
  <c r="B35" i="17"/>
  <c r="A54" i="17"/>
  <c r="B54" i="17"/>
  <c r="D54" i="17" s="1"/>
  <c r="A36" i="17"/>
  <c r="B36" i="17"/>
  <c r="A34" i="17"/>
  <c r="B34" i="17"/>
  <c r="I32" i="1"/>
  <c r="K32" i="1" s="1"/>
  <c r="N32" i="1" s="1"/>
  <c r="I76" i="6"/>
  <c r="J76" i="6" s="1"/>
  <c r="Y76" i="6"/>
  <c r="I56" i="6"/>
  <c r="J56" i="6" s="1"/>
  <c r="I30" i="1"/>
  <c r="K30" i="1" s="1"/>
  <c r="N30" i="1" s="1"/>
  <c r="Y56" i="6"/>
  <c r="Y74" i="1"/>
  <c r="Y75" i="1" s="1"/>
  <c r="N49" i="6" s="1"/>
  <c r="W49" i="6" s="1"/>
  <c r="W48" i="6" s="1"/>
  <c r="AE53" i="1"/>
  <c r="AE52" i="1"/>
  <c r="H42" i="17" s="1"/>
  <c r="AE43" i="1"/>
  <c r="N142" i="7" s="1"/>
  <c r="V142" i="7" s="1"/>
  <c r="N143" i="7"/>
  <c r="V143" i="7" s="1"/>
  <c r="W194" i="7"/>
  <c r="W193" i="7" s="1"/>
  <c r="Y43" i="1"/>
  <c r="N115" i="7" s="1"/>
  <c r="V115" i="7" s="1"/>
  <c r="N117" i="7"/>
  <c r="V117" i="7" s="1"/>
  <c r="V93" i="7"/>
  <c r="I93" i="7" s="1"/>
  <c r="J93" i="7" s="1"/>
  <c r="AL113" i="6"/>
  <c r="AL26" i="6"/>
  <c r="AL112" i="6"/>
  <c r="AL25" i="6"/>
  <c r="I204" i="7"/>
  <c r="Y204" i="7"/>
  <c r="AI78" i="1"/>
  <c r="V160" i="7"/>
  <c r="AI47" i="1" s="1"/>
  <c r="Y51" i="1" s="1"/>
  <c r="Y50" i="1" s="1"/>
  <c r="O160" i="7"/>
  <c r="H13" i="1"/>
  <c r="P43" i="1" s="1"/>
  <c r="Y60" i="6"/>
  <c r="J156" i="6"/>
  <c r="H12" i="1"/>
  <c r="K12" i="1" s="1"/>
  <c r="N12" i="1" s="1"/>
  <c r="I43" i="6"/>
  <c r="F6" i="5" s="1"/>
  <c r="Y52" i="6"/>
  <c r="Y72" i="6"/>
  <c r="H10" i="1"/>
  <c r="K10" i="1" s="1"/>
  <c r="N10" i="1" s="1"/>
  <c r="I72" i="6"/>
  <c r="J72" i="6" s="1"/>
  <c r="I52" i="6"/>
  <c r="J52" i="6" s="1"/>
  <c r="I60" i="6"/>
  <c r="J60" i="6" s="1"/>
  <c r="V47" i="6"/>
  <c r="Y80" i="6"/>
  <c r="I80" i="6"/>
  <c r="J80" i="6" s="1"/>
  <c r="H11" i="1"/>
  <c r="K11" i="1" s="1"/>
  <c r="N11" i="1" s="1"/>
  <c r="N118" i="7"/>
  <c r="V118" i="7" s="1"/>
  <c r="T88" i="1"/>
  <c r="Z222" i="7" s="1"/>
  <c r="AC61" i="1" s="1"/>
  <c r="H55" i="1"/>
  <c r="K55" i="1" s="1"/>
  <c r="Y104" i="7"/>
  <c r="I84" i="7"/>
  <c r="J84" i="7" s="1"/>
  <c r="Y84" i="7"/>
  <c r="V76" i="7"/>
  <c r="AI37" i="1" s="1"/>
  <c r="H53" i="1"/>
  <c r="K53" i="1" s="1"/>
  <c r="AC43" i="1"/>
  <c r="M25" i="1"/>
  <c r="A25" i="1" s="1"/>
  <c r="M24" i="1"/>
  <c r="A24" i="1" s="1"/>
  <c r="M19" i="1"/>
  <c r="A19" i="1" s="1"/>
  <c r="M20" i="1"/>
  <c r="A20" i="1" s="1"/>
  <c r="M9" i="1"/>
  <c r="A9" i="1" s="1"/>
  <c r="P250" i="7"/>
  <c r="P246" i="7"/>
  <c r="P249" i="7"/>
  <c r="P248" i="7"/>
  <c r="P247" i="7"/>
  <c r="P251" i="7"/>
  <c r="K63" i="1"/>
  <c r="K7" i="1"/>
  <c r="V175" i="6"/>
  <c r="V159" i="6" s="1"/>
  <c r="I267" i="7"/>
  <c r="M11" i="5" s="1"/>
  <c r="N203" i="7"/>
  <c r="X203" i="7" s="1"/>
  <c r="X202" i="7" s="1"/>
  <c r="X195" i="7" s="1"/>
  <c r="V300" i="7"/>
  <c r="Y300" i="7" s="1"/>
  <c r="I304" i="7"/>
  <c r="J304" i="7" s="1"/>
  <c r="J300" i="7" s="1"/>
  <c r="N15" i="5" s="1"/>
  <c r="Y304" i="7"/>
  <c r="Y175" i="7"/>
  <c r="H62" i="1"/>
  <c r="I175" i="7"/>
  <c r="J175" i="7" s="1"/>
  <c r="J169" i="7" s="1"/>
  <c r="N7" i="5" s="1"/>
  <c r="M32" i="1" l="1"/>
  <c r="A32" i="1" s="1"/>
  <c r="C36" i="17"/>
  <c r="D36" i="17"/>
  <c r="N212" i="7"/>
  <c r="V212" i="7" s="1"/>
  <c r="H43" i="17"/>
  <c r="C35" i="17"/>
  <c r="D35" i="17"/>
  <c r="M30" i="1"/>
  <c r="A30" i="1" s="1"/>
  <c r="I48" i="6"/>
  <c r="J48" i="6" s="1"/>
  <c r="I29" i="1"/>
  <c r="K29" i="1" s="1"/>
  <c r="N29" i="1" s="1"/>
  <c r="Y48" i="6"/>
  <c r="AE51" i="1"/>
  <c r="N210" i="7" s="1"/>
  <c r="V210" i="7" s="1"/>
  <c r="N211" i="7"/>
  <c r="V211" i="7" s="1"/>
  <c r="AC64" i="1"/>
  <c r="V141" i="7"/>
  <c r="I141" i="7" s="1"/>
  <c r="J141" i="7" s="1"/>
  <c r="K13" i="1"/>
  <c r="N13" i="1" s="1"/>
  <c r="T43" i="1"/>
  <c r="N115" i="6" s="1"/>
  <c r="V115" i="6" s="1"/>
  <c r="V114" i="6" s="1"/>
  <c r="V114" i="7"/>
  <c r="I114" i="7" s="1"/>
  <c r="J114" i="7" s="1"/>
  <c r="H54" i="1"/>
  <c r="K54" i="1" s="1"/>
  <c r="Y93" i="7"/>
  <c r="I64" i="6"/>
  <c r="J64" i="6" s="1"/>
  <c r="AI77" i="1"/>
  <c r="Y64" i="6"/>
  <c r="I31" i="1"/>
  <c r="W47" i="6"/>
  <c r="V246" i="7"/>
  <c r="AI59" i="1" s="1"/>
  <c r="O246" i="7"/>
  <c r="V247" i="7"/>
  <c r="AI60" i="1" s="1"/>
  <c r="O247" i="7"/>
  <c r="V250" i="7"/>
  <c r="AI63" i="1" s="1"/>
  <c r="O250" i="7"/>
  <c r="V248" i="7"/>
  <c r="AI61" i="1" s="1"/>
  <c r="O248" i="7"/>
  <c r="V251" i="7"/>
  <c r="AI64" i="1" s="1"/>
  <c r="O251" i="7"/>
  <c r="V249" i="7"/>
  <c r="AI62" i="1" s="1"/>
  <c r="O249" i="7"/>
  <c r="M12" i="1"/>
  <c r="AE35" i="1"/>
  <c r="M11" i="1"/>
  <c r="M10" i="1"/>
  <c r="N127" i="7"/>
  <c r="V127" i="7" s="1"/>
  <c r="AA44" i="1"/>
  <c r="N157" i="7"/>
  <c r="V157" i="7" s="1"/>
  <c r="A10" i="1"/>
  <c r="A12" i="1"/>
  <c r="A11" i="1"/>
  <c r="K62" i="1"/>
  <c r="Y175" i="6"/>
  <c r="H28" i="1"/>
  <c r="I175" i="6"/>
  <c r="J175" i="6" s="1"/>
  <c r="J132" i="1"/>
  <c r="I202" i="7"/>
  <c r="J202" i="7" s="1"/>
  <c r="I300" i="7"/>
  <c r="M15" i="5" s="1"/>
  <c r="I169" i="7"/>
  <c r="M7" i="5" s="1"/>
  <c r="J47" i="6" l="1"/>
  <c r="G7" i="5" s="1"/>
  <c r="P62" i="1"/>
  <c r="T62" i="1" s="1"/>
  <c r="N167" i="6" s="1"/>
  <c r="W167" i="6" s="1"/>
  <c r="W166" i="6" s="1"/>
  <c r="N134" i="7"/>
  <c r="V134" i="7" s="1"/>
  <c r="E35" i="17"/>
  <c r="F35" i="17"/>
  <c r="N225" i="7"/>
  <c r="V225" i="7" s="1"/>
  <c r="E54" i="17"/>
  <c r="F54" i="17"/>
  <c r="N135" i="7"/>
  <c r="V135" i="7" s="1"/>
  <c r="E36" i="17"/>
  <c r="F36" i="17"/>
  <c r="E53" i="17"/>
  <c r="F53" i="17"/>
  <c r="Y47" i="6"/>
  <c r="V209" i="7"/>
  <c r="I209" i="7" s="1"/>
  <c r="J209" i="7" s="1"/>
  <c r="H58" i="1"/>
  <c r="K58" i="1" s="1"/>
  <c r="Y141" i="7"/>
  <c r="N224" i="7"/>
  <c r="V224" i="7" s="1"/>
  <c r="M13" i="1"/>
  <c r="A13" i="1"/>
  <c r="H15" i="1"/>
  <c r="P45" i="1" s="1"/>
  <c r="I114" i="6"/>
  <c r="J114" i="6" s="1"/>
  <c r="Y114" i="6"/>
  <c r="I47" i="6"/>
  <c r="F7" i="5" s="1"/>
  <c r="H56" i="1"/>
  <c r="K56" i="1" s="1"/>
  <c r="Y114" i="7"/>
  <c r="N6" i="1"/>
  <c r="M6" i="1"/>
  <c r="A6" i="1" s="1"/>
  <c r="N5" i="1"/>
  <c r="M5" i="1"/>
  <c r="A5" i="1" s="1"/>
  <c r="M29" i="1"/>
  <c r="A29" i="1" s="1"/>
  <c r="AE34" i="1"/>
  <c r="T67" i="1" s="1"/>
  <c r="X151" i="6" s="1"/>
  <c r="X150" i="6" s="1"/>
  <c r="P125" i="1"/>
  <c r="T125" i="1" s="1"/>
  <c r="K31" i="1"/>
  <c r="T59" i="1"/>
  <c r="Z64" i="6" s="1"/>
  <c r="AC62" i="1"/>
  <c r="N223" i="7" s="1"/>
  <c r="V223" i="7" s="1"/>
  <c r="AC44" i="1"/>
  <c r="N133" i="7" s="1"/>
  <c r="V133" i="7" s="1"/>
  <c r="AI44" i="1"/>
  <c r="V156" i="7"/>
  <c r="K132" i="1"/>
  <c r="N132" i="1" s="1"/>
  <c r="K28" i="1"/>
  <c r="V222" i="7" l="1"/>
  <c r="I222" i="7" s="1"/>
  <c r="J222" i="7" s="1"/>
  <c r="V132" i="7"/>
  <c r="K15" i="1"/>
  <c r="T45" i="1"/>
  <c r="N121" i="6" s="1"/>
  <c r="V121" i="6" s="1"/>
  <c r="V120" i="6" s="1"/>
  <c r="I150" i="6"/>
  <c r="J150" i="6" s="1"/>
  <c r="Y150" i="6"/>
  <c r="X143" i="6"/>
  <c r="J39" i="1"/>
  <c r="Y222" i="7"/>
  <c r="I166" i="6"/>
  <c r="W159" i="6"/>
  <c r="W183" i="6" s="1"/>
  <c r="AB16" i="1" s="1"/>
  <c r="Y166" i="6"/>
  <c r="I34" i="1"/>
  <c r="Y156" i="7"/>
  <c r="I156" i="7"/>
  <c r="J156" i="7" s="1"/>
  <c r="H60" i="1"/>
  <c r="K60" i="1" s="1"/>
  <c r="M132" i="1"/>
  <c r="A132" i="1" s="1"/>
  <c r="P68" i="1" l="1"/>
  <c r="T68" i="1" s="1"/>
  <c r="N170" i="6" s="1"/>
  <c r="X170" i="6" s="1"/>
  <c r="X169" i="6" s="1"/>
  <c r="H17" i="1"/>
  <c r="K17" i="1" s="1"/>
  <c r="Y120" i="6"/>
  <c r="I120" i="6"/>
  <c r="J120" i="6" s="1"/>
  <c r="N15" i="1"/>
  <c r="M15" i="1"/>
  <c r="A15" i="1" s="1"/>
  <c r="K39" i="1"/>
  <c r="P132" i="1"/>
  <c r="T132" i="1" s="1"/>
  <c r="AA296" i="7" s="1"/>
  <c r="W297" i="7" s="1"/>
  <c r="W296" i="7" s="1"/>
  <c r="K34" i="1"/>
  <c r="I41" i="1"/>
  <c r="J166" i="6"/>
  <c r="I169" i="6" l="1"/>
  <c r="X159" i="6"/>
  <c r="X183" i="6" s="1"/>
  <c r="AE16" i="1" s="1"/>
  <c r="Y169" i="6"/>
  <c r="Y159" i="6" s="1"/>
  <c r="J40" i="1"/>
  <c r="K40" i="1" s="1"/>
  <c r="N17" i="1"/>
  <c r="M17" i="1"/>
  <c r="A17" i="1" s="1"/>
  <c r="T49" i="1"/>
  <c r="N138" i="6" s="1"/>
  <c r="V138" i="6" s="1"/>
  <c r="V137" i="6" s="1"/>
  <c r="N39" i="1"/>
  <c r="M39" i="1"/>
  <c r="A39" i="1" s="1"/>
  <c r="W292" i="7"/>
  <c r="I296" i="7"/>
  <c r="Y296" i="7"/>
  <c r="J41" i="1" l="1"/>
  <c r="J169" i="6"/>
  <c r="J159" i="6" s="1"/>
  <c r="G13" i="5" s="1"/>
  <c r="I159" i="6"/>
  <c r="F13" i="5" s="1"/>
  <c r="I137" i="6"/>
  <c r="Y137" i="6"/>
  <c r="Y130" i="6" s="1"/>
  <c r="H21" i="1"/>
  <c r="K21" i="1" s="1"/>
  <c r="V130" i="6"/>
  <c r="J296" i="7"/>
  <c r="W307" i="7"/>
  <c r="AB17" i="1" s="1"/>
  <c r="AB18" i="1" s="1"/>
  <c r="T155" i="1"/>
  <c r="AB209" i="7" s="1"/>
  <c r="AL102" i="6" l="1"/>
  <c r="AL15" i="6"/>
  <c r="I130" i="6"/>
  <c r="F11" i="5" s="1"/>
  <c r="J137" i="6"/>
  <c r="J130" i="6" s="1"/>
  <c r="G11" i="5" s="1"/>
  <c r="N221" i="7"/>
  <c r="X221" i="7" s="1"/>
  <c r="I221" i="7" l="1"/>
  <c r="J221" i="7" s="1"/>
  <c r="X209" i="7"/>
  <c r="X194" i="7" s="1"/>
  <c r="Y209" i="7" l="1"/>
  <c r="X193" i="7"/>
  <c r="T50" i="1" l="1"/>
  <c r="V145" i="6" s="1"/>
  <c r="V144" i="6" s="1"/>
  <c r="H22" i="1" l="1"/>
  <c r="K22" i="1" s="1"/>
  <c r="I144" i="6"/>
  <c r="J144" i="6" s="1"/>
  <c r="Y144" i="6"/>
  <c r="T51" i="1"/>
  <c r="V154" i="6" s="1"/>
  <c r="V153" i="6" s="1"/>
  <c r="V143" i="6" l="1"/>
  <c r="I153" i="6"/>
  <c r="J153" i="6" s="1"/>
  <c r="J143" i="6" s="1"/>
  <c r="G12" i="5" s="1"/>
  <c r="H23" i="1"/>
  <c r="Y153" i="6"/>
  <c r="Y143" i="6" s="1"/>
  <c r="V57" i="7"/>
  <c r="Z11" i="7" l="1"/>
  <c r="N12" i="7" s="1"/>
  <c r="K23" i="1"/>
  <c r="I143" i="6"/>
  <c r="F12" i="5" s="1"/>
  <c r="AA88" i="1"/>
  <c r="BD65" i="1"/>
  <c r="BD13" i="1"/>
  <c r="Z57" i="7"/>
  <c r="Y57" i="7"/>
  <c r="H50" i="1"/>
  <c r="AF13" i="1" s="1"/>
  <c r="I57" i="7"/>
  <c r="Y96" i="1" l="1"/>
  <c r="AA96" i="1"/>
  <c r="K50" i="1"/>
  <c r="V12" i="7"/>
  <c r="V11" i="7" s="1"/>
  <c r="H42" i="1" s="1"/>
  <c r="Y88" i="1" s="1"/>
  <c r="AC88" i="1" s="1"/>
  <c r="J57" i="7"/>
  <c r="AC96" i="1" l="1"/>
  <c r="V6" i="7"/>
  <c r="I11" i="7"/>
  <c r="I10" i="7" s="1"/>
  <c r="V10" i="7"/>
  <c r="Y10" i="7" s="1"/>
  <c r="Y11" i="7"/>
  <c r="Y6" i="7" s="1"/>
  <c r="K42" i="1"/>
  <c r="Y14" i="1" l="1"/>
  <c r="I6" i="7"/>
  <c r="J6" i="7" s="1"/>
  <c r="J11" i="7"/>
  <c r="J10" i="7" s="1"/>
  <c r="AR7" i="1" l="1"/>
  <c r="AL103" i="6" l="1"/>
  <c r="AL16" i="6"/>
  <c r="N243" i="7"/>
  <c r="V243" i="7" s="1"/>
  <c r="AI56" i="1" s="1"/>
  <c r="N244" i="7"/>
  <c r="V244" i="7" s="1"/>
  <c r="AI57" i="1" s="1"/>
  <c r="N126" i="7" l="1"/>
  <c r="V126" i="7" s="1"/>
  <c r="N128" i="7"/>
  <c r="V128" i="7" s="1"/>
  <c r="V125" i="7" l="1"/>
  <c r="V124" i="7" s="1"/>
  <c r="I124" i="7" s="1"/>
  <c r="H57" i="1" l="1"/>
  <c r="V103" i="7"/>
  <c r="J124" i="7"/>
  <c r="K57" i="1" l="1"/>
  <c r="B139" i="18" l="1"/>
  <c r="B88" i="18"/>
  <c r="B102" i="18"/>
  <c r="B50" i="18"/>
  <c r="B15" i="18"/>
  <c r="B61" i="18"/>
  <c r="B17" i="18"/>
  <c r="B115" i="18"/>
  <c r="B142" i="18"/>
  <c r="B60" i="18"/>
  <c r="B63" i="18"/>
  <c r="B120" i="18"/>
  <c r="B18" i="18"/>
  <c r="B114" i="18"/>
  <c r="B99" i="18"/>
  <c r="B22" i="18"/>
  <c r="B146" i="18"/>
  <c r="B153" i="18"/>
  <c r="B134" i="18"/>
  <c r="B5" i="18"/>
  <c r="B12" i="18"/>
  <c r="B200" i="18"/>
  <c r="B170" i="18"/>
  <c r="B131" i="18"/>
  <c r="B35" i="18"/>
  <c r="B148" i="18"/>
  <c r="B64" i="18"/>
  <c r="B149" i="18"/>
  <c r="B177" i="18"/>
  <c r="B14" i="18"/>
  <c r="B188" i="18"/>
  <c r="B119" i="18"/>
  <c r="B156" i="18"/>
  <c r="B87" i="18"/>
  <c r="B66" i="18"/>
  <c r="B199" i="18"/>
  <c r="B110" i="18"/>
  <c r="B154" i="18"/>
  <c r="B100" i="18"/>
  <c r="B95" i="18"/>
  <c r="B178" i="18"/>
  <c r="B174" i="18"/>
  <c r="B90" i="18"/>
  <c r="B75" i="18"/>
  <c r="B43" i="18"/>
  <c r="B34" i="18"/>
  <c r="B197" i="18"/>
  <c r="B161" i="18"/>
  <c r="B69" i="18"/>
  <c r="B68" i="18"/>
  <c r="B85" i="18"/>
  <c r="B169" i="18"/>
  <c r="B158" i="18"/>
  <c r="B171" i="18"/>
  <c r="B38" i="18"/>
  <c r="B72" i="18"/>
  <c r="B147" i="18"/>
  <c r="B52" i="18"/>
  <c r="B28" i="18"/>
  <c r="B109" i="18"/>
  <c r="B25" i="18"/>
  <c r="B101" i="18"/>
  <c r="B20" i="18"/>
  <c r="B57" i="18"/>
  <c r="B189" i="18"/>
  <c r="B121" i="18"/>
  <c r="B183" i="18"/>
  <c r="B159" i="18"/>
  <c r="B136" i="18"/>
  <c r="B140" i="18"/>
  <c r="B182" i="18"/>
  <c r="B86" i="18"/>
  <c r="B29" i="18"/>
  <c r="B113" i="18"/>
  <c r="B23" i="18"/>
  <c r="B82" i="18"/>
  <c r="B21" i="18"/>
  <c r="B7" i="18"/>
  <c r="B157" i="18"/>
  <c r="B19" i="18"/>
  <c r="B164" i="18"/>
  <c r="B81" i="18"/>
  <c r="B33" i="18"/>
  <c r="B160" i="18"/>
  <c r="B31" i="18"/>
  <c r="B166" i="18"/>
  <c r="B3" i="18"/>
  <c r="B6" i="18"/>
  <c r="B16" i="18"/>
  <c r="B24" i="18"/>
  <c r="B111" i="18"/>
  <c r="B92" i="18"/>
  <c r="B71" i="18"/>
  <c r="B127" i="18"/>
  <c r="B130" i="18"/>
  <c r="B67" i="18"/>
  <c r="B4" i="18"/>
  <c r="B8" i="18"/>
  <c r="B13" i="18"/>
  <c r="B9" i="18"/>
  <c r="B152" i="18"/>
  <c r="B83" i="18"/>
  <c r="B65" i="18"/>
  <c r="B117" i="18"/>
  <c r="B10" i="18"/>
  <c r="B79" i="18"/>
  <c r="B106" i="18"/>
  <c r="B45" i="18"/>
  <c r="B30" i="18"/>
  <c r="B125" i="18"/>
  <c r="B172" i="18"/>
  <c r="B80" i="18"/>
  <c r="B145" i="18"/>
  <c r="B84" i="18"/>
  <c r="B49" i="18"/>
  <c r="B47" i="18"/>
  <c r="B143" i="18"/>
  <c r="B27" i="18"/>
  <c r="B195" i="18"/>
  <c r="B39" i="18"/>
  <c r="B126" i="18"/>
  <c r="B42" i="18"/>
  <c r="B185" i="18"/>
  <c r="B11" i="18"/>
  <c r="B78" i="18"/>
  <c r="B32" i="18"/>
  <c r="B40" i="18"/>
  <c r="B150" i="18"/>
  <c r="B59" i="18"/>
  <c r="B122" i="18"/>
  <c r="B186" i="18"/>
  <c r="B70" i="18"/>
  <c r="B108" i="18"/>
  <c r="B128" i="18"/>
  <c r="B37" i="18"/>
  <c r="B184" i="18"/>
  <c r="B167" i="18"/>
  <c r="B141" i="18"/>
  <c r="B36" i="18"/>
  <c r="B201" i="18"/>
  <c r="B165" i="18"/>
  <c r="B123" i="18"/>
  <c r="B55" i="18"/>
  <c r="B132" i="18"/>
  <c r="B73" i="18"/>
  <c r="B93" i="18"/>
  <c r="B26" i="18"/>
  <c r="B107" i="18"/>
  <c r="B97" i="18"/>
  <c r="B58" i="18"/>
  <c r="B51" i="18"/>
  <c r="B89" i="18"/>
  <c r="B118" i="18"/>
  <c r="B175" i="18"/>
  <c r="B194" i="18"/>
  <c r="B48" i="18"/>
  <c r="B162" i="18"/>
  <c r="B168" i="18"/>
  <c r="B193" i="18"/>
  <c r="B105" i="18"/>
  <c r="B46" i="18"/>
  <c r="B173" i="18"/>
  <c r="B96" i="18"/>
  <c r="B180" i="18"/>
  <c r="B103" i="18"/>
  <c r="B44" i="18"/>
  <c r="B181" i="18"/>
  <c r="B129" i="18"/>
  <c r="B135" i="18"/>
  <c r="B116" i="18"/>
  <c r="B198" i="18"/>
  <c r="B179" i="18"/>
  <c r="B112" i="18"/>
  <c r="B187" i="18"/>
  <c r="B77" i="18"/>
  <c r="B54" i="18"/>
  <c r="B56" i="18"/>
  <c r="B76" i="18"/>
  <c r="B163" i="18"/>
  <c r="B144" i="18"/>
  <c r="B192" i="18"/>
  <c r="B138" i="18"/>
  <c r="B124" i="18"/>
  <c r="B196" i="18"/>
  <c r="B91" i="18"/>
  <c r="B74" i="18"/>
  <c r="B151" i="18"/>
  <c r="B176" i="18"/>
  <c r="B133" i="18"/>
  <c r="B98" i="18"/>
  <c r="B94" i="18"/>
  <c r="B190" i="18"/>
  <c r="B41" i="18"/>
  <c r="B191" i="18"/>
  <c r="B137" i="18"/>
  <c r="B202" i="18"/>
  <c r="B62" i="18"/>
  <c r="B104" i="18"/>
  <c r="B155" i="18"/>
  <c r="B53" i="18"/>
  <c r="N75" i="7" l="1"/>
  <c r="V75" i="7" s="1"/>
  <c r="AI36" i="1" l="1"/>
  <c r="V74" i="7"/>
  <c r="H52" i="1" l="1"/>
  <c r="V73" i="7"/>
  <c r="I74" i="7"/>
  <c r="Y74" i="7"/>
  <c r="J74" i="7" l="1"/>
  <c r="J73" i="7" s="1"/>
  <c r="I73" i="7"/>
  <c r="Y73" i="7"/>
  <c r="K52" i="1"/>
  <c r="M5" i="5" l="1"/>
  <c r="N5" i="5"/>
  <c r="N69" i="7" l="1"/>
  <c r="V69" i="7" s="1"/>
  <c r="N68" i="7"/>
  <c r="V68" i="7" s="1"/>
  <c r="AW46" i="1"/>
  <c r="AX46" i="1" s="1"/>
  <c r="N70" i="7"/>
  <c r="V70" i="7" s="1"/>
  <c r="AW39" i="1"/>
  <c r="AW53" i="1"/>
  <c r="AX53" i="1" s="1"/>
  <c r="AW33" i="1"/>
  <c r="AX33" i="1" s="1"/>
  <c r="AW31" i="1"/>
  <c r="AX31" i="1" s="1"/>
  <c r="N67" i="7"/>
  <c r="V67" i="7" s="1"/>
  <c r="AW22" i="1"/>
  <c r="AX22" i="1" s="1"/>
  <c r="AW18" i="1"/>
  <c r="AW38" i="1"/>
  <c r="AX38" i="1" s="1"/>
  <c r="AW20" i="1"/>
  <c r="AX20" i="1" s="1"/>
  <c r="AW55" i="1"/>
  <c r="AX55" i="1" s="1"/>
  <c r="AW42" i="1"/>
  <c r="AW14" i="1"/>
  <c r="AW17" i="1"/>
  <c r="AX17" i="1" s="1"/>
  <c r="AW34" i="1"/>
  <c r="AW36" i="1"/>
  <c r="AX36" i="1" s="1"/>
  <c r="AW21" i="1"/>
  <c r="AX21" i="1" s="1"/>
  <c r="AW56" i="1"/>
  <c r="AW50" i="1"/>
  <c r="AW57" i="1"/>
  <c r="AW24" i="1"/>
  <c r="AW59" i="1"/>
  <c r="AW43" i="1"/>
  <c r="AX43" i="1" s="1"/>
  <c r="AW35" i="1"/>
  <c r="AW51" i="1"/>
  <c r="AW49" i="1"/>
  <c r="AW27" i="1"/>
  <c r="AW25" i="1"/>
  <c r="AW44" i="1"/>
  <c r="AW47" i="1"/>
  <c r="AW52" i="1"/>
  <c r="AX52" i="1" s="1"/>
  <c r="AW30" i="1"/>
  <c r="AX30" i="1" s="1"/>
  <c r="AW40" i="1"/>
  <c r="AX40" i="1" s="1"/>
  <c r="AW32" i="1"/>
  <c r="AX32" i="1" s="1"/>
  <c r="AW58" i="1"/>
  <c r="AW16" i="1"/>
  <c r="AW23" i="1"/>
  <c r="AW15" i="1"/>
  <c r="AS15" i="17" s="1"/>
  <c r="AW54" i="1"/>
  <c r="AW41" i="1"/>
  <c r="AW29" i="1"/>
  <c r="AW45" i="1"/>
  <c r="AX11" i="1"/>
  <c r="AW60" i="1"/>
  <c r="AW28" i="1"/>
  <c r="AW19" i="1"/>
  <c r="AW26" i="1"/>
  <c r="AW48" i="1"/>
  <c r="AW12" i="1"/>
  <c r="AS12" i="17" s="1"/>
  <c r="AW13" i="1"/>
  <c r="AW37" i="1"/>
  <c r="N66" i="7"/>
  <c r="V66" i="7" s="1"/>
  <c r="AT11" i="17" l="1"/>
  <c r="AS20" i="17"/>
  <c r="AX37" i="1"/>
  <c r="AX49" i="1"/>
  <c r="AX12" i="1"/>
  <c r="AX19" i="1"/>
  <c r="AX60" i="1"/>
  <c r="AX45" i="1"/>
  <c r="AX16" i="1"/>
  <c r="AX44" i="1"/>
  <c r="AX27" i="1"/>
  <c r="AX56" i="1"/>
  <c r="AX34" i="1"/>
  <c r="AX42" i="1"/>
  <c r="AX39" i="1"/>
  <c r="AX15" i="1"/>
  <c r="AS46" i="17"/>
  <c r="V65" i="7"/>
  <c r="Y65" i="7" s="1"/>
  <c r="Y8" i="7" s="1"/>
  <c r="Y5" i="7" s="1"/>
  <c r="AA102" i="1" s="1"/>
  <c r="AS13" i="17"/>
  <c r="AS48" i="17"/>
  <c r="AX28" i="1"/>
  <c r="AS37" i="17"/>
  <c r="AX13" i="1"/>
  <c r="AX48" i="1"/>
  <c r="AS26" i="17"/>
  <c r="AS19" i="17"/>
  <c r="AS60" i="17"/>
  <c r="AX26" i="1"/>
  <c r="AW61" i="1"/>
  <c r="AW264" i="1" s="1"/>
  <c r="AT32" i="17"/>
  <c r="AS47" i="17"/>
  <c r="AS45" i="17"/>
  <c r="AX29" i="1"/>
  <c r="AS29" i="17"/>
  <c r="AS44" i="17"/>
  <c r="AS25" i="17"/>
  <c r="AS23" i="17"/>
  <c r="AT40" i="17"/>
  <c r="AT30" i="17"/>
  <c r="AT52" i="17"/>
  <c r="AX51" i="1"/>
  <c r="AS35" i="17"/>
  <c r="AS59" i="17"/>
  <c r="AS24" i="17"/>
  <c r="AX25" i="1"/>
  <c r="AS57" i="17"/>
  <c r="AS50" i="17"/>
  <c r="AT36" i="17"/>
  <c r="AS14" i="17"/>
  <c r="AT38" i="17"/>
  <c r="AT31" i="17"/>
  <c r="AX41" i="1"/>
  <c r="AX54" i="1"/>
  <c r="AS16" i="17"/>
  <c r="AT55" i="17"/>
  <c r="AS18" i="17"/>
  <c r="AT53" i="17"/>
  <c r="AS41" i="17"/>
  <c r="AS54" i="17"/>
  <c r="AX58" i="1"/>
  <c r="AS27" i="17"/>
  <c r="AS49" i="17"/>
  <c r="AX47" i="1"/>
  <c r="AS56" i="17"/>
  <c r="AS34" i="17"/>
  <c r="AS42" i="17"/>
  <c r="AT22" i="17"/>
  <c r="AT46" i="17"/>
  <c r="AX23" i="1"/>
  <c r="AS58" i="17"/>
  <c r="AX35" i="1"/>
  <c r="AT43" i="17"/>
  <c r="AX59" i="1"/>
  <c r="AX24" i="1"/>
  <c r="AX57" i="1"/>
  <c r="AX50" i="1"/>
  <c r="AT21" i="17"/>
  <c r="AT17" i="17"/>
  <c r="AT20" i="17"/>
  <c r="AT33" i="17"/>
  <c r="AS39" i="17"/>
  <c r="AX14" i="1"/>
  <c r="AX18" i="1"/>
  <c r="AX61" i="1" l="1"/>
  <c r="AX264" i="1" s="1"/>
  <c r="AT15" i="17"/>
  <c r="AT56" i="17"/>
  <c r="AT45" i="17"/>
  <c r="AT39" i="17"/>
  <c r="AT49" i="17"/>
  <c r="AT27" i="17"/>
  <c r="AT42" i="17"/>
  <c r="AT44" i="17"/>
  <c r="AT19" i="17"/>
  <c r="AT37" i="17"/>
  <c r="AT60" i="17"/>
  <c r="AT34" i="17"/>
  <c r="AT16" i="17"/>
  <c r="AS31" i="17"/>
  <c r="AS55" i="17"/>
  <c r="H51" i="1"/>
  <c r="AE13" i="1" s="1"/>
  <c r="I65" i="7"/>
  <c r="I56" i="7" s="1"/>
  <c r="V56" i="7"/>
  <c r="Y56" i="7" s="1"/>
  <c r="V8" i="7"/>
  <c r="V5" i="7" s="1"/>
  <c r="V4" i="7" s="1"/>
  <c r="AT58" i="17"/>
  <c r="AS53" i="17"/>
  <c r="AS52" i="17"/>
  <c r="AS38" i="17"/>
  <c r="AT24" i="17"/>
  <c r="AT35" i="17"/>
  <c r="AS30" i="17"/>
  <c r="AT23" i="17"/>
  <c r="AS43" i="17"/>
  <c r="AT54" i="17"/>
  <c r="AS11" i="17"/>
  <c r="AT48" i="17"/>
  <c r="AT28" i="17"/>
  <c r="AS40" i="17"/>
  <c r="AS28" i="17"/>
  <c r="AT18" i="17"/>
  <c r="AS36" i="17"/>
  <c r="AT14" i="17"/>
  <c r="AT50" i="17"/>
  <c r="AS32" i="17"/>
  <c r="AT25" i="17"/>
  <c r="AT51" i="17"/>
  <c r="AT26" i="17"/>
  <c r="AS22" i="17"/>
  <c r="AS33" i="17"/>
  <c r="AT59" i="17"/>
  <c r="AT41" i="17"/>
  <c r="AS51" i="17"/>
  <c r="AS21" i="17"/>
  <c r="AS17" i="17"/>
  <c r="AT57" i="17"/>
  <c r="AT47" i="17"/>
  <c r="AT29" i="17"/>
  <c r="Y97" i="1" l="1"/>
  <c r="AT12" i="17"/>
  <c r="AT13" i="17"/>
  <c r="K51" i="1"/>
  <c r="I8" i="7"/>
  <c r="I5" i="7" s="1"/>
  <c r="J65" i="7"/>
  <c r="J56" i="7" s="1"/>
  <c r="AH130" i="18"/>
  <c r="AG48" i="18"/>
  <c r="AK110" i="18"/>
  <c r="AE189" i="18"/>
  <c r="AJ120" i="18"/>
  <c r="AG65" i="18"/>
  <c r="AK147" i="18"/>
  <c r="AH150" i="18"/>
  <c r="AE51" i="18"/>
  <c r="AK38" i="18"/>
  <c r="AK121" i="18"/>
  <c r="AC148" i="18"/>
  <c r="AJ84" i="18"/>
  <c r="AK33" i="18"/>
  <c r="AI177" i="18"/>
  <c r="AE175" i="18"/>
  <c r="AD154" i="18"/>
  <c r="AK172" i="18"/>
  <c r="AB79" i="18"/>
  <c r="AD152" i="18"/>
  <c r="AJ134" i="18"/>
  <c r="AE11" i="18"/>
  <c r="AH98" i="18"/>
  <c r="AC17" i="18"/>
  <c r="AG106" i="18"/>
  <c r="AB202" i="18"/>
  <c r="AH75" i="18"/>
  <c r="AB181" i="18"/>
  <c r="AI128" i="18"/>
  <c r="AH153" i="18"/>
  <c r="AI94" i="18"/>
  <c r="AD82" i="18"/>
  <c r="AD123" i="18"/>
  <c r="AD137" i="18"/>
  <c r="AJ136" i="18"/>
  <c r="AE79" i="18"/>
  <c r="AG200" i="18"/>
  <c r="AG187" i="18"/>
  <c r="AC69" i="18"/>
  <c r="AB85" i="18"/>
  <c r="AE32" i="18"/>
  <c r="AC6" i="18"/>
  <c r="AJ173" i="18"/>
  <c r="AK158" i="18"/>
  <c r="AB112" i="18"/>
  <c r="AE38" i="18"/>
  <c r="AI172" i="18"/>
  <c r="AK93" i="18"/>
  <c r="AE201" i="18"/>
  <c r="AE102" i="18"/>
  <c r="AG128" i="18"/>
  <c r="AC50" i="18"/>
  <c r="AH28" i="18"/>
  <c r="AC81" i="18"/>
  <c r="AJ61" i="18"/>
  <c r="AK113" i="18"/>
  <c r="AC87" i="18"/>
  <c r="AD81" i="18"/>
  <c r="AD62" i="18"/>
  <c r="AD119" i="18"/>
  <c r="AB64" i="18"/>
  <c r="AD116" i="18"/>
  <c r="AH112" i="18"/>
  <c r="AG126" i="18"/>
  <c r="AJ105" i="18"/>
  <c r="AG85" i="18"/>
  <c r="AH165" i="18"/>
  <c r="AK127" i="18"/>
  <c r="AI80" i="18"/>
  <c r="AI171" i="18"/>
  <c r="AD185" i="18"/>
  <c r="AG193" i="18"/>
  <c r="AB137" i="18"/>
  <c r="AD127" i="18"/>
  <c r="AB140" i="18"/>
  <c r="AG198" i="18"/>
  <c r="AK174" i="18"/>
  <c r="AI186" i="18"/>
  <c r="AJ122" i="18"/>
  <c r="AE61" i="18"/>
  <c r="AS61" i="17"/>
  <c r="AS264" i="17" s="1"/>
  <c r="Z65" i="7"/>
  <c r="AE5" i="18" l="1"/>
  <c r="AK5" i="18"/>
  <c r="AH171" i="18"/>
  <c r="AK83" i="18"/>
  <c r="AH10" i="18"/>
  <c r="AG114" i="18"/>
  <c r="AC126" i="18"/>
  <c r="AI111" i="18"/>
  <c r="AE134" i="18"/>
  <c r="AB63" i="18"/>
  <c r="AE112" i="18"/>
  <c r="AG98" i="18"/>
  <c r="AJ92" i="18"/>
  <c r="AK159" i="18"/>
  <c r="AB106" i="18"/>
  <c r="AC132" i="18"/>
  <c r="AB144" i="18"/>
  <c r="AC95" i="18"/>
  <c r="AJ143" i="18"/>
  <c r="AE19" i="18"/>
  <c r="AJ147" i="18"/>
  <c r="AG182" i="18"/>
  <c r="AI85" i="18"/>
  <c r="AK123" i="18"/>
  <c r="AI168" i="18"/>
  <c r="AC103" i="18"/>
  <c r="AG69" i="18"/>
  <c r="AJ28" i="18"/>
  <c r="AG53" i="18"/>
  <c r="AI167" i="18"/>
  <c r="AI179" i="18"/>
  <c r="AG104" i="18"/>
  <c r="AJ58" i="18"/>
  <c r="AH13" i="18"/>
  <c r="AG35" i="18"/>
  <c r="AK58" i="18"/>
  <c r="AG41" i="18"/>
  <c r="AK119" i="18"/>
  <c r="AE9" i="18"/>
  <c r="AE59" i="18"/>
  <c r="AE22" i="18"/>
  <c r="AE196" i="18"/>
  <c r="AJ40" i="18"/>
  <c r="AE108" i="18"/>
  <c r="AD52" i="18"/>
  <c r="AI53" i="18"/>
  <c r="AJ140" i="18"/>
  <c r="AH53" i="18"/>
  <c r="AG68" i="18"/>
  <c r="AB51" i="18"/>
  <c r="AD125" i="18"/>
  <c r="AK202" i="18"/>
  <c r="AH142" i="18"/>
  <c r="AE128" i="18"/>
  <c r="AD117" i="18"/>
  <c r="AJ65" i="18"/>
  <c r="AD74" i="18"/>
  <c r="AD146" i="18"/>
  <c r="AJ162" i="18"/>
  <c r="AE202" i="18"/>
  <c r="AB35" i="18"/>
  <c r="AE35" i="18"/>
  <c r="AB160" i="18"/>
  <c r="AC116" i="18"/>
  <c r="AH34" i="18"/>
  <c r="AB104" i="18"/>
  <c r="AI190" i="18"/>
  <c r="AC147" i="18"/>
  <c r="AH147" i="18"/>
  <c r="AI106" i="18"/>
  <c r="AJ139" i="18"/>
  <c r="AB170" i="18"/>
  <c r="AE166" i="18"/>
  <c r="AC40" i="18"/>
  <c r="AI160" i="18"/>
  <c r="AD23" i="18"/>
  <c r="AC46" i="18"/>
  <c r="AC157" i="18"/>
  <c r="AI185" i="18"/>
  <c r="AC198" i="18"/>
  <c r="AG138" i="18"/>
  <c r="AG95" i="18"/>
  <c r="AE6" i="18"/>
  <c r="AJ103" i="18"/>
  <c r="AD11" i="18"/>
  <c r="AK3" i="18"/>
  <c r="AD5" i="18"/>
  <c r="AB5" i="18"/>
  <c r="AI132" i="18"/>
  <c r="AC124" i="18"/>
  <c r="AH107" i="18"/>
  <c r="AJ113" i="18"/>
  <c r="AH69" i="18"/>
  <c r="AG159" i="18"/>
  <c r="AC139" i="18"/>
  <c r="AB188" i="18"/>
  <c r="AK182" i="18"/>
  <c r="AE133" i="18"/>
  <c r="AC145" i="18"/>
  <c r="AE187" i="18"/>
  <c r="AC96" i="18"/>
  <c r="AI126" i="18"/>
  <c r="AC41" i="18"/>
  <c r="AK105" i="18"/>
  <c r="AG118" i="18"/>
  <c r="AK52" i="18"/>
  <c r="AI180" i="18"/>
  <c r="AD111" i="18"/>
  <c r="AK145" i="18"/>
  <c r="AJ29" i="18"/>
  <c r="AH131" i="18"/>
  <c r="AH166" i="18"/>
  <c r="AJ21" i="18"/>
  <c r="AE15" i="18"/>
  <c r="AI138" i="18"/>
  <c r="AC192" i="18"/>
  <c r="AE65" i="18"/>
  <c r="AI31" i="18"/>
  <c r="AI44" i="18"/>
  <c r="AB81" i="18"/>
  <c r="AG136" i="18"/>
  <c r="AC104" i="18"/>
  <c r="AJ178" i="18"/>
  <c r="AJ94" i="18"/>
  <c r="AE17" i="18"/>
  <c r="AD165" i="18"/>
  <c r="AI30" i="18"/>
  <c r="AI71" i="18"/>
  <c r="AD45" i="18"/>
  <c r="AK155" i="18"/>
  <c r="AD102" i="18"/>
  <c r="AB41" i="18"/>
  <c r="AG189" i="18"/>
  <c r="AD107" i="18"/>
  <c r="AJ60" i="18"/>
  <c r="AE138" i="18"/>
  <c r="AI15" i="18"/>
  <c r="AE99" i="18"/>
  <c r="AK82" i="18"/>
  <c r="AK41" i="18"/>
  <c r="AK185" i="18"/>
  <c r="AE114" i="18"/>
  <c r="AB22" i="18"/>
  <c r="AI92" i="18"/>
  <c r="AH152" i="18"/>
  <c r="AH139" i="18"/>
  <c r="AH46" i="18"/>
  <c r="AC128" i="18"/>
  <c r="AE75" i="18"/>
  <c r="AJ20" i="18"/>
  <c r="AH9" i="18"/>
  <c r="AD54" i="18"/>
  <c r="AI95" i="18"/>
  <c r="AG51" i="18"/>
  <c r="AG150" i="18"/>
  <c r="AJ132" i="18"/>
  <c r="AD138" i="18"/>
  <c r="AH202" i="18"/>
  <c r="AG170" i="18"/>
  <c r="AJ159" i="18"/>
  <c r="AG75" i="18"/>
  <c r="AD9" i="18"/>
  <c r="AK75" i="18"/>
  <c r="AI98" i="18"/>
  <c r="AJ184" i="18"/>
  <c r="AG63" i="18"/>
  <c r="AD178" i="18"/>
  <c r="AJ109" i="18"/>
  <c r="AB58" i="18"/>
  <c r="AD37" i="18"/>
  <c r="AC5" i="18"/>
  <c r="AH5" i="18"/>
  <c r="AJ5" i="18"/>
  <c r="AK100" i="18"/>
  <c r="AI170" i="18"/>
  <c r="AI189" i="18"/>
  <c r="AE107" i="18"/>
  <c r="AI176" i="18"/>
  <c r="AK79" i="18"/>
  <c r="AC130" i="18"/>
  <c r="AJ108" i="18"/>
  <c r="AK80" i="18"/>
  <c r="AJ53" i="18"/>
  <c r="AK150" i="18"/>
  <c r="AH193" i="18"/>
  <c r="AJ49" i="18"/>
  <c r="AI175" i="18"/>
  <c r="AH106" i="18"/>
  <c r="AI109" i="18"/>
  <c r="AC174" i="18"/>
  <c r="AC175" i="18"/>
  <c r="AJ75" i="18"/>
  <c r="AG197" i="18"/>
  <c r="AH102" i="18"/>
  <c r="AC117" i="18"/>
  <c r="AK118" i="18"/>
  <c r="AC118" i="18"/>
  <c r="AJ6" i="18"/>
  <c r="AI60" i="18"/>
  <c r="AC13" i="18"/>
  <c r="AJ50" i="18"/>
  <c r="AD38" i="18"/>
  <c r="AH199" i="18"/>
  <c r="AK57" i="18"/>
  <c r="AI39" i="18"/>
  <c r="AB86" i="18"/>
  <c r="AJ10" i="18"/>
  <c r="AG18" i="18"/>
  <c r="AG22" i="18"/>
  <c r="AE137" i="18"/>
  <c r="AB70" i="18"/>
  <c r="AI38" i="18"/>
  <c r="AC113" i="18"/>
  <c r="AJ44" i="18"/>
  <c r="AK59" i="18"/>
  <c r="AB13" i="18"/>
  <c r="AG134" i="18"/>
  <c r="AH99" i="18"/>
  <c r="AJ170" i="18"/>
  <c r="AC140" i="18"/>
  <c r="AB135" i="18"/>
  <c r="AG55" i="18"/>
  <c r="AG70" i="18"/>
  <c r="AK192" i="18"/>
  <c r="AH141" i="18"/>
  <c r="AC188" i="18"/>
  <c r="AH27" i="18"/>
  <c r="AC49" i="18"/>
  <c r="AH54" i="18"/>
  <c r="AC143" i="18"/>
  <c r="AD6" i="18"/>
  <c r="AI69" i="18"/>
  <c r="AK27" i="18"/>
  <c r="AD147" i="18"/>
  <c r="AC93" i="18"/>
  <c r="AI14" i="18"/>
  <c r="AJ154" i="18"/>
  <c r="AI70" i="18"/>
  <c r="AE85" i="18"/>
  <c r="AE40" i="18"/>
  <c r="AJ43" i="18"/>
  <c r="AD118" i="18"/>
  <c r="AD80" i="18"/>
  <c r="AE58" i="18"/>
  <c r="AK28" i="18"/>
  <c r="AI74" i="18"/>
  <c r="AI68" i="18"/>
  <c r="AE111" i="18"/>
  <c r="AI49" i="18"/>
  <c r="AC33" i="18"/>
  <c r="AC185" i="18"/>
  <c r="AC155" i="18"/>
  <c r="AK137" i="18"/>
  <c r="AH195" i="18"/>
  <c r="AE26" i="18"/>
  <c r="AD177" i="18"/>
  <c r="AJ86" i="18"/>
  <c r="AH144" i="18"/>
  <c r="AG132" i="18"/>
  <c r="AD164" i="18"/>
  <c r="AK37" i="18"/>
  <c r="AG10" i="18"/>
  <c r="AH133" i="18"/>
  <c r="AH44" i="18"/>
  <c r="AI26" i="18"/>
  <c r="AJ48" i="18"/>
  <c r="AG103" i="18"/>
  <c r="AB114" i="18"/>
  <c r="AB107" i="18"/>
  <c r="AB199" i="18"/>
  <c r="AK39" i="18"/>
  <c r="AK144" i="18"/>
  <c r="AE14" i="18"/>
  <c r="AH63" i="18"/>
  <c r="AB96" i="18"/>
  <c r="AD30" i="18"/>
  <c r="AD92" i="18"/>
  <c r="AJ80" i="18"/>
  <c r="AG16" i="18"/>
  <c r="AE52" i="18"/>
  <c r="AH120" i="18"/>
  <c r="AK17" i="18"/>
  <c r="AJ149" i="18"/>
  <c r="AI115" i="18"/>
  <c r="AH33" i="18"/>
  <c r="AH78" i="18"/>
  <c r="AB93" i="18"/>
  <c r="AD155" i="18"/>
  <c r="AC129" i="18"/>
  <c r="AH173" i="18"/>
  <c r="AB45" i="18"/>
  <c r="AC27" i="18"/>
  <c r="AI114" i="18"/>
  <c r="AE77" i="18"/>
  <c r="AD168" i="18"/>
  <c r="AE41" i="18"/>
  <c r="AG111" i="18"/>
  <c r="AC61" i="18"/>
  <c r="AH200" i="18"/>
  <c r="AB17" i="18"/>
  <c r="AC25" i="18"/>
  <c r="AE33" i="18"/>
  <c r="AC123" i="18"/>
  <c r="AK132" i="18"/>
  <c r="AJ55" i="18"/>
  <c r="AD184" i="18"/>
  <c r="AI8" i="18"/>
  <c r="AE156" i="18"/>
  <c r="AI119" i="18"/>
  <c r="AH104" i="18"/>
  <c r="AE121" i="18"/>
  <c r="AB32" i="18"/>
  <c r="AI174" i="18"/>
  <c r="AH135" i="18"/>
  <c r="AG26" i="18"/>
  <c r="AK53" i="18"/>
  <c r="AK198" i="18"/>
  <c r="AG74" i="18"/>
  <c r="AG72" i="18"/>
  <c r="AI164" i="18"/>
  <c r="AG196" i="18"/>
  <c r="AI181" i="18"/>
  <c r="AK50" i="18"/>
  <c r="AG64" i="18"/>
  <c r="AB39" i="18"/>
  <c r="AC30" i="18"/>
  <c r="AE31" i="18"/>
  <c r="AC159" i="18"/>
  <c r="AJ141" i="18"/>
  <c r="AB168" i="18"/>
  <c r="AJ186" i="18"/>
  <c r="AI192" i="18"/>
  <c r="AC72" i="18"/>
  <c r="AH72" i="18"/>
  <c r="AG124" i="18"/>
  <c r="AD93" i="18"/>
  <c r="AB73" i="18"/>
  <c r="AJ15" i="18"/>
  <c r="AC194" i="18"/>
  <c r="AH190" i="18"/>
  <c r="AH111" i="18"/>
  <c r="AG161" i="18"/>
  <c r="AG19" i="18"/>
  <c r="AC92" i="18"/>
  <c r="AI36" i="18"/>
  <c r="AI155" i="18"/>
  <c r="AG186" i="18"/>
  <c r="AK68" i="18"/>
  <c r="AK173" i="18"/>
  <c r="AB98" i="18"/>
  <c r="AC45" i="18"/>
  <c r="AH30" i="18"/>
  <c r="AJ97" i="18"/>
  <c r="AI24" i="18"/>
  <c r="AJ32" i="18"/>
  <c r="AB78" i="18"/>
  <c r="AH66" i="18"/>
  <c r="AD104" i="18"/>
  <c r="AE155" i="18"/>
  <c r="AE29" i="18"/>
  <c r="AG77" i="18"/>
  <c r="AC34" i="18"/>
  <c r="AH47" i="18"/>
  <c r="AK54" i="18"/>
  <c r="AI149" i="18"/>
  <c r="AD28" i="18"/>
  <c r="AD135" i="18"/>
  <c r="AB56" i="18"/>
  <c r="AE78" i="18"/>
  <c r="AH178" i="18"/>
  <c r="AE90" i="18"/>
  <c r="AC80" i="18"/>
  <c r="AK146" i="18"/>
  <c r="AH49" i="18"/>
  <c r="AI163" i="18"/>
  <c r="AK112" i="18"/>
  <c r="AH82" i="18"/>
  <c r="AJ165" i="18"/>
  <c r="AE70" i="18"/>
  <c r="AK101" i="18"/>
  <c r="AI51" i="18"/>
  <c r="AK35" i="18"/>
  <c r="AH127" i="18"/>
  <c r="AJ153" i="18"/>
  <c r="AK153" i="18"/>
  <c r="AB53" i="18"/>
  <c r="AE167" i="18"/>
  <c r="AI135" i="18"/>
  <c r="AJ67" i="18"/>
  <c r="AK129" i="18"/>
  <c r="AJ98" i="18"/>
  <c r="AC76" i="18"/>
  <c r="AC73" i="18"/>
  <c r="AG117" i="18"/>
  <c r="AB178" i="18"/>
  <c r="AB124" i="18"/>
  <c r="AK12" i="18"/>
  <c r="AE141" i="18"/>
  <c r="AC9" i="18"/>
  <c r="AB186" i="18"/>
  <c r="AH198" i="18"/>
  <c r="AH161" i="18"/>
  <c r="AD58" i="18"/>
  <c r="AJ129" i="18"/>
  <c r="AK136" i="18"/>
  <c r="AC89" i="18"/>
  <c r="AG7" i="18"/>
  <c r="AK13" i="18"/>
  <c r="AD14" i="18"/>
  <c r="AC79" i="18"/>
  <c r="AK23" i="18"/>
  <c r="AE135" i="18"/>
  <c r="AJ74" i="18"/>
  <c r="AH14" i="18"/>
  <c r="AJ180" i="18"/>
  <c r="AI193" i="18"/>
  <c r="AG12" i="18"/>
  <c r="AD170" i="18"/>
  <c r="AD181" i="18"/>
  <c r="AI46" i="18"/>
  <c r="AK157" i="18"/>
  <c r="AI125" i="18"/>
  <c r="AB128" i="18"/>
  <c r="AI76" i="18"/>
  <c r="AI59" i="18"/>
  <c r="AI5" i="18"/>
  <c r="AC142" i="18"/>
  <c r="AC97" i="18"/>
  <c r="AJ169" i="18"/>
  <c r="AJ152" i="18"/>
  <c r="AK72" i="18"/>
  <c r="AB136" i="18"/>
  <c r="AH123" i="18"/>
  <c r="AC7" i="18"/>
  <c r="AJ51" i="18"/>
  <c r="AH43" i="18"/>
  <c r="AE183" i="18"/>
  <c r="AC195" i="18"/>
  <c r="AB195" i="18"/>
  <c r="AI184" i="18"/>
  <c r="AD161" i="18"/>
  <c r="AI90" i="18"/>
  <c r="AE8" i="18"/>
  <c r="AG143" i="18"/>
  <c r="AI50" i="18"/>
  <c r="AH21" i="18"/>
  <c r="AG5" i="18"/>
  <c r="AB143" i="18"/>
  <c r="AE18" i="18"/>
  <c r="AB141" i="18"/>
  <c r="AJ95" i="18"/>
  <c r="AB19" i="18"/>
  <c r="AI56" i="18"/>
  <c r="AK43" i="18"/>
  <c r="AC68" i="18"/>
  <c r="AG20" i="18"/>
  <c r="AD46" i="18"/>
  <c r="AB59" i="18"/>
  <c r="AG127" i="18"/>
  <c r="AE106" i="18"/>
  <c r="AD59" i="18"/>
  <c r="AG110" i="18"/>
  <c r="AC77" i="18"/>
  <c r="AC172" i="18"/>
  <c r="AB46" i="18"/>
  <c r="AJ202" i="18"/>
  <c r="AE182" i="18"/>
  <c r="AD69" i="18"/>
  <c r="AD35" i="18"/>
  <c r="AG195" i="18"/>
  <c r="AH31" i="18"/>
  <c r="AE69" i="18"/>
  <c r="AI7" i="18"/>
  <c r="AH23" i="18"/>
  <c r="AJ72" i="18"/>
  <c r="AJ12" i="18"/>
  <c r="AG191" i="18"/>
  <c r="AB24" i="18"/>
  <c r="AJ69" i="18"/>
  <c r="AE45" i="18"/>
  <c r="AE7" i="18"/>
  <c r="AJ17" i="18"/>
  <c r="AI55" i="18"/>
  <c r="AB122" i="18"/>
  <c r="AB77" i="18"/>
  <c r="AG84" i="18"/>
  <c r="AJ131" i="18"/>
  <c r="AK181" i="18"/>
  <c r="AJ189" i="18"/>
  <c r="AH125" i="18"/>
  <c r="AJ112" i="18"/>
  <c r="AB123" i="18"/>
  <c r="AC154" i="18"/>
  <c r="AG38" i="18"/>
  <c r="AD26" i="18"/>
  <c r="AI144" i="18"/>
  <c r="AK122" i="18"/>
  <c r="AD24" i="18"/>
  <c r="AJ130" i="18"/>
  <c r="AK186" i="18"/>
  <c r="AC32" i="18"/>
  <c r="AE178" i="18"/>
  <c r="AK44" i="18"/>
  <c r="AK162" i="18"/>
  <c r="AI140" i="18"/>
  <c r="AE169" i="18"/>
  <c r="AE130" i="18"/>
  <c r="AG56" i="18"/>
  <c r="AJ144" i="18"/>
  <c r="AE181" i="18"/>
  <c r="AD47" i="18"/>
  <c r="AD41" i="18"/>
  <c r="AH103" i="18"/>
  <c r="AB54" i="18"/>
  <c r="AJ195" i="18"/>
  <c r="AG59" i="18"/>
  <c r="AJ70" i="18"/>
  <c r="AD136" i="18"/>
  <c r="AI127" i="18"/>
  <c r="AG183" i="18"/>
  <c r="AE113" i="18"/>
  <c r="AE116" i="18"/>
  <c r="AC173" i="18"/>
  <c r="AI43" i="18"/>
  <c r="AE177" i="18"/>
  <c r="AB88" i="18"/>
  <c r="AK34" i="18"/>
  <c r="AE105" i="18"/>
  <c r="AC31" i="18"/>
  <c r="AG86" i="18"/>
  <c r="AJ73" i="18"/>
  <c r="AJ71" i="18"/>
  <c r="AH85" i="18"/>
  <c r="AI48" i="18"/>
  <c r="AJ34" i="18"/>
  <c r="AI142" i="18"/>
  <c r="AH163" i="18"/>
  <c r="AJ8" i="18"/>
  <c r="AI118" i="18"/>
  <c r="AK116" i="18"/>
  <c r="AK65" i="18"/>
  <c r="AE158" i="18"/>
  <c r="AB12" i="18"/>
  <c r="AD29" i="18"/>
  <c r="AC176" i="18"/>
  <c r="AH191" i="18"/>
  <c r="AB113" i="18"/>
  <c r="AG32" i="18"/>
  <c r="AH60" i="18"/>
  <c r="AE198" i="18"/>
  <c r="AB158" i="18"/>
  <c r="AG91" i="18"/>
  <c r="AG94" i="18"/>
  <c r="AI86" i="18"/>
  <c r="AB115" i="18"/>
  <c r="AI113" i="18"/>
  <c r="AH90" i="18"/>
  <c r="AG25" i="18"/>
  <c r="AB111" i="18"/>
  <c r="AI63" i="18"/>
  <c r="AB169" i="18"/>
  <c r="AC184" i="18"/>
  <c r="AB155" i="18"/>
  <c r="AJ128" i="18"/>
  <c r="AG145" i="18"/>
  <c r="AE23" i="18"/>
  <c r="AG17" i="18"/>
  <c r="AI157" i="18"/>
  <c r="AD171" i="18"/>
  <c r="AE179" i="18"/>
  <c r="AB36" i="18"/>
  <c r="AH89" i="18"/>
  <c r="AC53" i="18"/>
  <c r="AG29" i="18"/>
  <c r="AB6" i="18"/>
  <c r="AK178" i="18"/>
  <c r="AK6" i="18"/>
  <c r="AK48" i="18"/>
  <c r="AJ19" i="18"/>
  <c r="AK190" i="18"/>
  <c r="AK76" i="18"/>
  <c r="AH87" i="18"/>
  <c r="AG177" i="18"/>
  <c r="AK61" i="18"/>
  <c r="AI37" i="18"/>
  <c r="AB133" i="18"/>
  <c r="AH73" i="18"/>
  <c r="AJ137" i="18"/>
  <c r="AJ175" i="18"/>
  <c r="AG156" i="18"/>
  <c r="AJ171" i="18"/>
  <c r="AD172" i="18"/>
  <c r="AE43" i="18"/>
  <c r="AE126" i="18"/>
  <c r="AK40" i="18"/>
  <c r="AG199" i="18"/>
  <c r="AK114" i="18"/>
  <c r="AG28" i="18"/>
  <c r="AG73" i="18"/>
  <c r="AB120" i="18"/>
  <c r="AI27" i="18"/>
  <c r="AE20" i="18"/>
  <c r="AH22" i="18"/>
  <c r="AH176" i="18"/>
  <c r="AG102" i="18"/>
  <c r="AJ30" i="18"/>
  <c r="AI141" i="18"/>
  <c r="AG100" i="18"/>
  <c r="AG60" i="18"/>
  <c r="AH92" i="18"/>
  <c r="AK78" i="18"/>
  <c r="AK160" i="18"/>
  <c r="AB150" i="18"/>
  <c r="AI178" i="18"/>
  <c r="AB191" i="18"/>
  <c r="AB50" i="18"/>
  <c r="AH79" i="18"/>
  <c r="AC60" i="18"/>
  <c r="AG194" i="18"/>
  <c r="AK24" i="18"/>
  <c r="AK148" i="18"/>
  <c r="AK193" i="18"/>
  <c r="AC14" i="18"/>
  <c r="AD77" i="18"/>
  <c r="AJ52" i="18"/>
  <c r="AK92" i="18"/>
  <c r="AE68" i="18"/>
  <c r="AJ54" i="18"/>
  <c r="AI201" i="18"/>
  <c r="AI107" i="18"/>
  <c r="AH50" i="18"/>
  <c r="AK62" i="18"/>
  <c r="AC152" i="18"/>
  <c r="AC59" i="18"/>
  <c r="AJ89" i="18"/>
  <c r="AC67" i="18"/>
  <c r="AG148" i="18"/>
  <c r="AD72" i="18"/>
  <c r="AK106" i="18"/>
  <c r="AC202" i="18"/>
  <c r="AK21" i="18"/>
  <c r="AC37" i="18"/>
  <c r="AD157" i="18"/>
  <c r="AE12" i="18"/>
  <c r="AH62" i="18"/>
  <c r="AC193" i="18"/>
  <c r="AJ111" i="18"/>
  <c r="AI54" i="18"/>
  <c r="AJ27" i="18"/>
  <c r="AI91" i="18"/>
  <c r="AC165" i="18"/>
  <c r="AE73" i="18"/>
  <c r="AB44" i="18"/>
  <c r="AC66" i="18"/>
  <c r="AI123" i="18"/>
  <c r="AC71" i="18"/>
  <c r="AI6" i="18"/>
  <c r="AB171" i="18"/>
  <c r="AE92" i="18"/>
  <c r="AH113" i="18"/>
  <c r="AD142" i="18"/>
  <c r="AB42" i="18"/>
  <c r="AC98" i="18"/>
  <c r="AG120" i="18"/>
  <c r="AC54" i="18"/>
  <c r="AG169" i="18"/>
  <c r="AD15" i="18"/>
  <c r="AD40" i="18"/>
  <c r="AK36" i="18"/>
  <c r="AH7" i="18"/>
  <c r="AH42" i="18"/>
  <c r="AG152" i="18"/>
  <c r="AI117" i="18"/>
  <c r="AE129" i="18"/>
  <c r="AB80" i="18"/>
  <c r="AJ45" i="18"/>
  <c r="AK16" i="18"/>
  <c r="AE88" i="18"/>
  <c r="AE151" i="18"/>
  <c r="AJ79" i="18"/>
  <c r="AE193" i="18"/>
  <c r="AK128" i="18"/>
  <c r="AE100" i="18"/>
  <c r="AC56" i="18"/>
  <c r="AE120" i="18"/>
  <c r="AJ124" i="18"/>
  <c r="AE54" i="18"/>
  <c r="AI18" i="18"/>
  <c r="AH121" i="18"/>
  <c r="AD60" i="18"/>
  <c r="AC114" i="18"/>
  <c r="AD144" i="18"/>
  <c r="AB172" i="18"/>
  <c r="AB134" i="18"/>
  <c r="AD166" i="18"/>
  <c r="AC48" i="18"/>
  <c r="AH6" i="18"/>
  <c r="AB29" i="18"/>
  <c r="AC186" i="18"/>
  <c r="AI110" i="18"/>
  <c r="AK70" i="18"/>
  <c r="AE72" i="18"/>
  <c r="AD76" i="18"/>
  <c r="AE160" i="18"/>
  <c r="AK191" i="18"/>
  <c r="AE185" i="18"/>
  <c r="AI150" i="18"/>
  <c r="AB177" i="18"/>
  <c r="AI45" i="18"/>
  <c r="AH64" i="18"/>
  <c r="AB116" i="18"/>
  <c r="AB157" i="18"/>
  <c r="AH93" i="18"/>
  <c r="AH109" i="18"/>
  <c r="AH38" i="18"/>
  <c r="AI62" i="18"/>
  <c r="AI199" i="18"/>
  <c r="AK91" i="18"/>
  <c r="AC84" i="18"/>
  <c r="AI40" i="18"/>
  <c r="AJ155" i="18"/>
  <c r="AB57" i="18"/>
  <c r="AH65" i="18"/>
  <c r="AI82" i="18"/>
  <c r="AD140" i="18"/>
  <c r="AE174" i="18"/>
  <c r="AJ174" i="18"/>
  <c r="AI64" i="18"/>
  <c r="AH168" i="18"/>
  <c r="AJ93" i="18"/>
  <c r="AE84" i="18"/>
  <c r="AC200" i="18"/>
  <c r="AD27" i="18"/>
  <c r="AE192" i="18"/>
  <c r="AI10" i="18"/>
  <c r="AI137" i="18"/>
  <c r="AD25" i="18"/>
  <c r="AH192" i="18"/>
  <c r="AJ148" i="18"/>
  <c r="AI195" i="18"/>
  <c r="AH128" i="18"/>
  <c r="AH52" i="18"/>
  <c r="AC163" i="18"/>
  <c r="AG97" i="18"/>
  <c r="AK15" i="18"/>
  <c r="AC100" i="18"/>
  <c r="AG99" i="18"/>
  <c r="AH126" i="18"/>
  <c r="AB62" i="18"/>
  <c r="AG115" i="18"/>
  <c r="AK31" i="18"/>
  <c r="AK77" i="18"/>
  <c r="AC22" i="18"/>
  <c r="AH76" i="18"/>
  <c r="AJ77" i="18"/>
  <c r="AJ110" i="18"/>
  <c r="AH175" i="18"/>
  <c r="AC167" i="18"/>
  <c r="AK64" i="18"/>
  <c r="AG36" i="18"/>
  <c r="AK14" i="18"/>
  <c r="AE62" i="18"/>
  <c r="AH157" i="18"/>
  <c r="AJ125" i="18"/>
  <c r="AC51" i="18"/>
  <c r="AC55" i="18"/>
  <c r="AD109" i="18"/>
  <c r="AD167" i="18"/>
  <c r="AD88" i="18"/>
  <c r="AI108" i="18"/>
  <c r="AG176" i="18"/>
  <c r="AB200" i="18"/>
  <c r="AE149" i="18"/>
  <c r="AK131" i="18"/>
  <c r="AE191" i="18"/>
  <c r="AE98" i="18"/>
  <c r="AJ36" i="18"/>
  <c r="AK81" i="18"/>
  <c r="AD160" i="18"/>
  <c r="AG171" i="18"/>
  <c r="AD17" i="18"/>
  <c r="AH58" i="18"/>
  <c r="AH77" i="18"/>
  <c r="AD151" i="18"/>
  <c r="AK60" i="18"/>
  <c r="AI22" i="18"/>
  <c r="AG6" i="18"/>
  <c r="AG66" i="18"/>
  <c r="AH61" i="18"/>
  <c r="AJ118" i="18"/>
  <c r="AD22" i="18"/>
  <c r="AH149" i="18"/>
  <c r="AI196" i="18"/>
  <c r="AD8" i="18"/>
  <c r="AD91" i="18"/>
  <c r="AH32" i="18"/>
  <c r="AJ200" i="18"/>
  <c r="AD13" i="18"/>
  <c r="AJ163" i="18"/>
  <c r="AJ196" i="18"/>
  <c r="AB76" i="18"/>
  <c r="AC197" i="18"/>
  <c r="AG46" i="18"/>
  <c r="AG173" i="18"/>
  <c r="AE25" i="18"/>
  <c r="AD78" i="18"/>
  <c r="AJ166" i="18"/>
  <c r="AK135" i="18"/>
  <c r="AD162" i="18"/>
  <c r="AI136" i="18"/>
  <c r="AD148" i="18"/>
  <c r="AJ138" i="18"/>
  <c r="AC119" i="18"/>
  <c r="AD89" i="18"/>
  <c r="AC182" i="18"/>
  <c r="AE48" i="18"/>
  <c r="AB37" i="18"/>
  <c r="AC39" i="18"/>
  <c r="AI130" i="18"/>
  <c r="AB97" i="18"/>
  <c r="AE82" i="18"/>
  <c r="AG96" i="18"/>
  <c r="AD85" i="18"/>
  <c r="AB119" i="18"/>
  <c r="AK88" i="18"/>
  <c r="AB48" i="18"/>
  <c r="AJ116" i="18"/>
  <c r="AD65" i="18"/>
  <c r="AD34" i="18"/>
  <c r="AE89" i="18"/>
  <c r="AK49" i="18"/>
  <c r="AJ87" i="18"/>
  <c r="AE143" i="18"/>
  <c r="AE153" i="18"/>
  <c r="AK199" i="18"/>
  <c r="AH184" i="18"/>
  <c r="AB26" i="18"/>
  <c r="AK26" i="18"/>
  <c r="AK42" i="18"/>
  <c r="AD145" i="18"/>
  <c r="AE131" i="18"/>
  <c r="AI77" i="18"/>
  <c r="AB175" i="18"/>
  <c r="AB47" i="18"/>
  <c r="AK98" i="18"/>
  <c r="AC131" i="18"/>
  <c r="AH18" i="18"/>
  <c r="AG174" i="18"/>
  <c r="AC115" i="18"/>
  <c r="AB68" i="18"/>
  <c r="AC187" i="18"/>
  <c r="AH26" i="18"/>
  <c r="AE152" i="18"/>
  <c r="AG57" i="18"/>
  <c r="AG105" i="18"/>
  <c r="AH159" i="18"/>
  <c r="AB95" i="18"/>
  <c r="AK104" i="18"/>
  <c r="AK103" i="18"/>
  <c r="AH151" i="18"/>
  <c r="AD66" i="18"/>
  <c r="AG140" i="18"/>
  <c r="AD132" i="18"/>
  <c r="AG129" i="18"/>
  <c r="AE55" i="18"/>
  <c r="AJ96" i="18"/>
  <c r="AC121" i="18"/>
  <c r="AE44" i="18"/>
  <c r="AK171" i="18"/>
  <c r="AH94" i="18"/>
  <c r="AE28" i="18"/>
  <c r="AE117" i="18"/>
  <c r="AG15" i="18"/>
  <c r="AD79" i="18"/>
  <c r="AB23" i="18"/>
  <c r="AG123" i="18"/>
  <c r="AD134" i="18"/>
  <c r="AI121" i="18"/>
  <c r="AH119" i="18"/>
  <c r="AH96" i="18"/>
  <c r="AK189" i="18"/>
  <c r="AC58" i="18"/>
  <c r="AJ81" i="18"/>
  <c r="AK32" i="18"/>
  <c r="AG180" i="18"/>
  <c r="AC70" i="18"/>
  <c r="AD36" i="18"/>
  <c r="AH117" i="18"/>
  <c r="AH8" i="18"/>
  <c r="AD120" i="18"/>
  <c r="AG45" i="18"/>
  <c r="AC161" i="18"/>
  <c r="AJ25" i="18"/>
  <c r="AK183" i="18"/>
  <c r="AC15" i="18"/>
  <c r="AG188" i="18"/>
  <c r="AI183" i="18"/>
  <c r="AG113" i="18"/>
  <c r="AK126" i="18"/>
  <c r="AK47" i="18"/>
  <c r="AG185" i="18"/>
  <c r="AI32" i="18"/>
  <c r="AK86" i="18"/>
  <c r="AK11" i="18"/>
  <c r="AI200" i="18"/>
  <c r="AI152" i="18"/>
  <c r="AJ107" i="18"/>
  <c r="AE165" i="18"/>
  <c r="AE173" i="18"/>
  <c r="AE60" i="18"/>
  <c r="AE49" i="18"/>
  <c r="AJ119" i="18"/>
  <c r="AC105" i="18"/>
  <c r="AH67" i="18"/>
  <c r="AB201" i="18"/>
  <c r="AC62" i="18"/>
  <c r="AK74" i="18"/>
  <c r="AG43" i="18"/>
  <c r="AJ181" i="18"/>
  <c r="AH16" i="18"/>
  <c r="AG121" i="18"/>
  <c r="AI21" i="18"/>
  <c r="AC63" i="18"/>
  <c r="AB182" i="18"/>
  <c r="AD201" i="18"/>
  <c r="AK134" i="18"/>
  <c r="AI23" i="18"/>
  <c r="AE195" i="18"/>
  <c r="AD139" i="18"/>
  <c r="AK45" i="18"/>
  <c r="AE39" i="18"/>
  <c r="AE170" i="18"/>
  <c r="AH15" i="18"/>
  <c r="AG54" i="18"/>
  <c r="AG23" i="18"/>
  <c r="AB87" i="18"/>
  <c r="AE71" i="18"/>
  <c r="AC19" i="18"/>
  <c r="AC141" i="18"/>
  <c r="AH17" i="18"/>
  <c r="AE66" i="18"/>
  <c r="AC74" i="18"/>
  <c r="AB7" i="18"/>
  <c r="AJ101" i="18"/>
  <c r="AD32" i="18"/>
  <c r="AB139" i="18"/>
  <c r="AE10" i="18"/>
  <c r="AJ38" i="18"/>
  <c r="AI16" i="18"/>
  <c r="AI102" i="18"/>
  <c r="AE47" i="18"/>
  <c r="AK84" i="18"/>
  <c r="AK10" i="18"/>
  <c r="AC24" i="18"/>
  <c r="AJ183" i="18"/>
  <c r="AB52" i="18"/>
  <c r="AH70" i="18"/>
  <c r="AB27" i="18"/>
  <c r="AG172" i="18"/>
  <c r="AE197" i="18"/>
  <c r="AJ193" i="18"/>
  <c r="AI19" i="18"/>
  <c r="AB69" i="18"/>
  <c r="AK18" i="18"/>
  <c r="AB103" i="18"/>
  <c r="AI101" i="18"/>
  <c r="AB101" i="18"/>
  <c r="AH40" i="18"/>
  <c r="AH101" i="18"/>
  <c r="AJ64" i="18"/>
  <c r="AK20" i="18"/>
  <c r="AD141" i="18"/>
  <c r="AC26" i="18"/>
  <c r="AD112" i="18"/>
  <c r="AG13" i="18"/>
  <c r="AJ22" i="18"/>
  <c r="AB10" i="18"/>
  <c r="AG141" i="18"/>
  <c r="AB192" i="18"/>
  <c r="AD7" i="18"/>
  <c r="AD133" i="18"/>
  <c r="AE83" i="18"/>
  <c r="AC65" i="18"/>
  <c r="AI122" i="18"/>
  <c r="AC16" i="18"/>
  <c r="AD156" i="18"/>
  <c r="AB129" i="18"/>
  <c r="AE161" i="18"/>
  <c r="AJ151" i="18"/>
  <c r="AB92" i="18"/>
  <c r="AB109" i="18"/>
  <c r="AE145" i="18"/>
  <c r="AC43" i="18"/>
  <c r="AG9" i="18"/>
  <c r="AH187" i="18"/>
  <c r="AH138" i="18"/>
  <c r="AD106" i="18"/>
  <c r="AC133" i="18"/>
  <c r="AE34" i="18"/>
  <c r="AD96" i="18"/>
  <c r="AB154" i="18"/>
  <c r="AB105" i="18"/>
  <c r="AB167" i="18"/>
  <c r="AJ126" i="18"/>
  <c r="AD187" i="18"/>
  <c r="AC82" i="18"/>
  <c r="AI158" i="18"/>
  <c r="AC190" i="18"/>
  <c r="AJ33" i="18"/>
  <c r="AG162" i="18"/>
  <c r="AH189" i="18"/>
  <c r="AI81" i="18"/>
  <c r="AC107" i="18"/>
  <c r="AG144" i="18"/>
  <c r="AC38" i="18"/>
  <c r="AD10" i="18"/>
  <c r="AK56" i="18"/>
  <c r="AE96" i="18"/>
  <c r="AJ121" i="18"/>
  <c r="AE110" i="18"/>
  <c r="AG108" i="18"/>
  <c r="AG83" i="18"/>
  <c r="AB147" i="18"/>
  <c r="AD199" i="18"/>
  <c r="AC137" i="18"/>
  <c r="AB99" i="18"/>
  <c r="AI35" i="18"/>
  <c r="AE97" i="18"/>
  <c r="AD73" i="18"/>
  <c r="AH80" i="18"/>
  <c r="AI151" i="18"/>
  <c r="AG139" i="18"/>
  <c r="AI146" i="18"/>
  <c r="AD126" i="18"/>
  <c r="AK165" i="18"/>
  <c r="AB152" i="18"/>
  <c r="AK195" i="18"/>
  <c r="AG30" i="18"/>
  <c r="AB16" i="18"/>
  <c r="AD97" i="18"/>
  <c r="AJ177" i="18"/>
  <c r="AJ83" i="18"/>
  <c r="AB82" i="18"/>
  <c r="AB198" i="18"/>
  <c r="AB166" i="18"/>
  <c r="AH170" i="18"/>
  <c r="AH55" i="18"/>
  <c r="AC12" i="18"/>
  <c r="AK85" i="18"/>
  <c r="AE104" i="18"/>
  <c r="AG202" i="18"/>
  <c r="AH19" i="18"/>
  <c r="AD61" i="18"/>
  <c r="AE180" i="18"/>
  <c r="AI116" i="18"/>
  <c r="AH59" i="18"/>
  <c r="AK51" i="18"/>
  <c r="AJ59" i="18"/>
  <c r="AH37" i="18"/>
  <c r="AB18" i="18"/>
  <c r="AC164" i="18"/>
  <c r="AB31" i="18"/>
  <c r="AH124" i="18"/>
  <c r="AH143" i="18"/>
  <c r="AJ90" i="18"/>
  <c r="AH177" i="18"/>
  <c r="AC20" i="18"/>
  <c r="AG93" i="18"/>
  <c r="AD100" i="18"/>
  <c r="AI134" i="18"/>
  <c r="AD16" i="18"/>
  <c r="AD124" i="18"/>
  <c r="AK107" i="18"/>
  <c r="AD67" i="18"/>
  <c r="AC85" i="18"/>
  <c r="AK117" i="18"/>
  <c r="AH110" i="18"/>
  <c r="AH81" i="18"/>
  <c r="AI198" i="18"/>
  <c r="AJ106" i="18"/>
  <c r="AI100" i="18"/>
  <c r="AG135" i="18"/>
  <c r="AB148" i="18"/>
  <c r="AG167" i="18"/>
  <c r="AE148" i="18"/>
  <c r="AH164" i="18"/>
  <c r="AC101" i="18"/>
  <c r="AJ11" i="18"/>
  <c r="AB117" i="18"/>
  <c r="AK167" i="18"/>
  <c r="AK187" i="18"/>
  <c r="AC106" i="18"/>
  <c r="AJ172" i="18"/>
  <c r="AD33" i="18"/>
  <c r="AK90" i="18"/>
  <c r="AJ167" i="18"/>
  <c r="AC144" i="18"/>
  <c r="AJ100" i="18"/>
  <c r="AD19" i="18"/>
  <c r="AI165" i="18"/>
  <c r="AD174" i="18"/>
  <c r="AC23" i="18"/>
  <c r="AE118" i="18"/>
  <c r="AH100" i="18"/>
  <c r="AG130" i="18"/>
  <c r="AD122" i="18"/>
  <c r="AD150" i="18"/>
  <c r="AD183" i="18"/>
  <c r="AG107" i="18"/>
  <c r="AK151" i="18"/>
  <c r="AG160" i="18"/>
  <c r="AC170" i="18"/>
  <c r="AJ104" i="18"/>
  <c r="AD94" i="18"/>
  <c r="AB165" i="18"/>
  <c r="AD71" i="18"/>
  <c r="AE74" i="18"/>
  <c r="AD192" i="18"/>
  <c r="AJ23" i="18"/>
  <c r="AH115" i="18"/>
  <c r="AB60" i="18"/>
  <c r="AE30" i="18"/>
  <c r="AI169" i="18"/>
  <c r="AG157" i="18"/>
  <c r="AB138" i="18"/>
  <c r="AG149" i="18"/>
  <c r="AK164" i="18"/>
  <c r="AC158" i="18"/>
  <c r="AI156" i="18"/>
  <c r="AJ68" i="18"/>
  <c r="AG87" i="18"/>
  <c r="AB153" i="18"/>
  <c r="AJ91" i="18"/>
  <c r="AG71" i="18"/>
  <c r="AB185" i="18"/>
  <c r="AG14" i="18"/>
  <c r="AC111" i="18"/>
  <c r="AH179" i="18"/>
  <c r="AC75" i="18"/>
  <c r="AE64" i="18"/>
  <c r="AI17" i="18"/>
  <c r="AJ41" i="18"/>
  <c r="AH11" i="18"/>
  <c r="AK115" i="18"/>
  <c r="AD188" i="18"/>
  <c r="AH197" i="18"/>
  <c r="AH24" i="18"/>
  <c r="AJ201" i="18"/>
  <c r="AD51" i="18"/>
  <c r="AB43" i="18"/>
  <c r="AH167" i="18"/>
  <c r="AC162" i="18"/>
  <c r="AH45" i="18"/>
  <c r="AG175" i="18"/>
  <c r="AH160" i="18"/>
  <c r="AJ63" i="18"/>
  <c r="AI28" i="18"/>
  <c r="AH35" i="18"/>
  <c r="AD169" i="18"/>
  <c r="AE13" i="18"/>
  <c r="AC149" i="18"/>
  <c r="AE157" i="18"/>
  <c r="AI131" i="18"/>
  <c r="AJ179" i="18"/>
  <c r="AC64" i="18"/>
  <c r="AB190" i="18"/>
  <c r="AK188" i="18"/>
  <c r="AK201" i="18"/>
  <c r="AE123" i="18"/>
  <c r="AG42" i="18"/>
  <c r="AH158" i="18"/>
  <c r="AI153" i="18"/>
  <c r="AG101" i="18"/>
  <c r="AD68" i="18"/>
  <c r="AC153" i="18"/>
  <c r="AC29" i="18"/>
  <c r="AK154" i="18"/>
  <c r="AK156" i="18"/>
  <c r="AH155" i="18"/>
  <c r="AB196" i="18"/>
  <c r="AK140" i="18"/>
  <c r="AI89" i="18"/>
  <c r="AD110" i="18"/>
  <c r="AJ142" i="18"/>
  <c r="AI129" i="18"/>
  <c r="AJ160" i="18"/>
  <c r="AG168" i="18"/>
  <c r="AC109" i="18"/>
  <c r="AI161" i="18"/>
  <c r="AI197" i="18"/>
  <c r="AK63" i="18"/>
  <c r="AG137" i="18"/>
  <c r="AD99" i="18"/>
  <c r="AK152" i="18"/>
  <c r="AE119" i="18"/>
  <c r="AD115" i="18"/>
  <c r="AG166" i="18"/>
  <c r="AE140" i="18"/>
  <c r="AH108" i="18"/>
  <c r="AB197" i="18"/>
  <c r="AC180" i="18"/>
  <c r="AH51" i="18"/>
  <c r="AJ157" i="18"/>
  <c r="AG39" i="18"/>
  <c r="AK89" i="18"/>
  <c r="AJ9" i="18"/>
  <c r="AC36" i="18"/>
  <c r="AD12" i="18"/>
  <c r="AK55" i="18"/>
  <c r="AC35" i="18"/>
  <c r="AG11" i="18"/>
  <c r="AG179" i="18"/>
  <c r="AK73" i="18"/>
  <c r="AD186" i="18"/>
  <c r="AE162" i="18"/>
  <c r="AB100" i="18"/>
  <c r="AD31" i="18"/>
  <c r="AD197" i="18"/>
  <c r="AJ135" i="18"/>
  <c r="AC90" i="18"/>
  <c r="AH41" i="18"/>
  <c r="AB110" i="18"/>
  <c r="AB142" i="18"/>
  <c r="AK124" i="18"/>
  <c r="AG37" i="18"/>
  <c r="AG89" i="18"/>
  <c r="AI139" i="18"/>
  <c r="AB71" i="18"/>
  <c r="AH146" i="18"/>
  <c r="AE200" i="18"/>
  <c r="AG165" i="18"/>
  <c r="AB38" i="18"/>
  <c r="AE16" i="18"/>
  <c r="AG33" i="18"/>
  <c r="AD163" i="18"/>
  <c r="AJ76" i="18"/>
  <c r="AI87" i="18"/>
  <c r="AI9" i="18"/>
  <c r="AE194" i="18"/>
  <c r="AC18" i="18"/>
  <c r="AH122" i="18"/>
  <c r="AD113" i="18"/>
  <c r="AK109" i="18"/>
  <c r="AD129" i="18"/>
  <c r="AI194" i="18"/>
  <c r="AK177" i="18"/>
  <c r="AG24" i="18"/>
  <c r="AI29" i="18"/>
  <c r="AG27" i="18"/>
  <c r="AD195" i="18"/>
  <c r="AE172" i="18"/>
  <c r="AH196" i="18"/>
  <c r="AI159" i="18"/>
  <c r="AK120" i="18"/>
  <c r="AH12" i="18"/>
  <c r="AK180" i="18"/>
  <c r="AC88" i="18"/>
  <c r="AE115" i="18"/>
  <c r="AK111" i="18"/>
  <c r="AK194" i="18"/>
  <c r="AD98" i="18"/>
  <c r="AK168" i="18"/>
  <c r="AB131" i="18"/>
  <c r="AJ199" i="18"/>
  <c r="AC166" i="18"/>
  <c r="AD84" i="18"/>
  <c r="AJ88" i="18"/>
  <c r="AE57" i="18"/>
  <c r="AG116" i="18"/>
  <c r="AG81" i="18"/>
  <c r="AG88" i="18"/>
  <c r="AK149" i="18"/>
  <c r="AK87" i="18"/>
  <c r="AG201" i="18"/>
  <c r="AG34" i="18"/>
  <c r="AH148" i="18"/>
  <c r="AI166" i="18"/>
  <c r="AC156" i="18"/>
  <c r="AH181" i="18"/>
  <c r="AE101" i="18"/>
  <c r="AD190" i="18"/>
  <c r="AD48" i="18"/>
  <c r="AI105" i="18"/>
  <c r="AK99" i="18"/>
  <c r="AI33" i="18"/>
  <c r="AJ24" i="18"/>
  <c r="AD128" i="18"/>
  <c r="AD202" i="18"/>
  <c r="AB8" i="18"/>
  <c r="AJ145" i="18"/>
  <c r="AI162" i="18"/>
  <c r="AD39" i="18"/>
  <c r="AC86" i="18"/>
  <c r="AE186" i="18"/>
  <c r="AJ31" i="18"/>
  <c r="AG80" i="18"/>
  <c r="AE164" i="18"/>
  <c r="AI72" i="18"/>
  <c r="AJ158" i="18"/>
  <c r="AH194" i="18"/>
  <c r="AC52" i="18"/>
  <c r="AG52" i="18"/>
  <c r="AC138" i="18"/>
  <c r="AB33" i="18"/>
  <c r="AG90" i="18"/>
  <c r="AB179" i="18"/>
  <c r="AB173" i="18"/>
  <c r="AD63" i="18"/>
  <c r="AH145" i="18"/>
  <c r="AE76" i="18"/>
  <c r="AK46" i="18"/>
  <c r="AE171" i="18"/>
  <c r="AE21" i="18"/>
  <c r="AI61" i="18"/>
  <c r="AJ39" i="18"/>
  <c r="AK71" i="18"/>
  <c r="AD103" i="18"/>
  <c r="AK108" i="18"/>
  <c r="AE36" i="18"/>
  <c r="AI99" i="18"/>
  <c r="AC127" i="18"/>
  <c r="AH88" i="18"/>
  <c r="AJ7" i="18"/>
  <c r="AH29" i="18"/>
  <c r="AI120" i="18"/>
  <c r="AH185" i="18"/>
  <c r="AB132" i="18"/>
  <c r="AG40" i="18"/>
  <c r="AD180" i="18"/>
  <c r="AB102" i="18"/>
  <c r="AD57" i="18"/>
  <c r="AE87" i="18"/>
  <c r="AC47" i="18"/>
  <c r="AD105" i="18"/>
  <c r="AI173" i="18"/>
  <c r="AI143" i="18"/>
  <c r="AB189" i="18"/>
  <c r="AJ66" i="18"/>
  <c r="AB55" i="18"/>
  <c r="AH169" i="18"/>
  <c r="AC94" i="18"/>
  <c r="AK161" i="18"/>
  <c r="AC108" i="18"/>
  <c r="AH25" i="18"/>
  <c r="AJ18" i="18"/>
  <c r="AI67" i="18"/>
  <c r="AB49" i="18"/>
  <c r="AE159" i="18"/>
  <c r="AK163" i="18"/>
  <c r="AB14" i="18"/>
  <c r="AG58" i="18"/>
  <c r="AJ14" i="18"/>
  <c r="AE109" i="18"/>
  <c r="AH154" i="18"/>
  <c r="AE67" i="18"/>
  <c r="AC168" i="18"/>
  <c r="AC136" i="18"/>
  <c r="AD191" i="18"/>
  <c r="AB164" i="18"/>
  <c r="AJ176" i="18"/>
  <c r="AE95" i="18"/>
  <c r="AD50" i="18"/>
  <c r="AH83" i="18"/>
  <c r="AG178" i="18"/>
  <c r="AK29" i="18"/>
  <c r="AE147" i="18"/>
  <c r="AC42" i="18"/>
  <c r="AI182" i="18"/>
  <c r="AB126" i="18"/>
  <c r="AC160" i="18"/>
  <c r="AD43" i="18"/>
  <c r="AD131" i="18"/>
  <c r="AD20" i="18"/>
  <c r="AG8" i="18"/>
  <c r="AB21" i="18"/>
  <c r="AE150" i="18"/>
  <c r="AC196" i="18"/>
  <c r="AJ150" i="18"/>
  <c r="AE125" i="18"/>
  <c r="AD158" i="18"/>
  <c r="AD193" i="18"/>
  <c r="AE37" i="18"/>
  <c r="AB163" i="18"/>
  <c r="AB118" i="18"/>
  <c r="AE124" i="18"/>
  <c r="AC8" i="18"/>
  <c r="AD53" i="18"/>
  <c r="AD86" i="18"/>
  <c r="AE42" i="18"/>
  <c r="AE81" i="18"/>
  <c r="AD196" i="18"/>
  <c r="AK95" i="18"/>
  <c r="AK96" i="18"/>
  <c r="AD159" i="18"/>
  <c r="AB72" i="18"/>
  <c r="AH116" i="18"/>
  <c r="AI12" i="18"/>
  <c r="AJ190" i="18"/>
  <c r="AC83" i="18"/>
  <c r="AD179" i="18"/>
  <c r="AJ62" i="18"/>
  <c r="AJ156" i="18"/>
  <c r="AI57" i="18"/>
  <c r="AJ187" i="18"/>
  <c r="AE27" i="18"/>
  <c r="AI124" i="18"/>
  <c r="AJ85" i="18"/>
  <c r="AC99" i="18"/>
  <c r="AI147" i="18"/>
  <c r="AC125" i="18"/>
  <c r="AG158" i="18"/>
  <c r="AE53" i="18"/>
  <c r="AB34" i="18"/>
  <c r="AJ13" i="18"/>
  <c r="AI11" i="18"/>
  <c r="AK30" i="18"/>
  <c r="AJ35" i="18"/>
  <c r="AG49" i="18"/>
  <c r="AK141" i="18"/>
  <c r="AI75" i="18"/>
  <c r="AC150" i="18"/>
  <c r="AK19" i="18"/>
  <c r="AE190" i="18"/>
  <c r="AE132" i="18"/>
  <c r="AI83" i="18"/>
  <c r="AD121" i="18"/>
  <c r="AB90" i="18"/>
  <c r="AI73" i="18"/>
  <c r="AB156" i="18"/>
  <c r="AD55" i="18"/>
  <c r="AD176" i="18"/>
  <c r="AC181" i="18"/>
  <c r="AG190" i="18"/>
  <c r="AC171" i="18"/>
  <c r="AG155" i="18"/>
  <c r="AJ192" i="18"/>
  <c r="AJ78" i="18"/>
  <c r="AI78" i="18"/>
  <c r="AH74" i="18"/>
  <c r="AD75" i="18"/>
  <c r="AH137" i="18"/>
  <c r="AH105" i="18"/>
  <c r="AE142" i="18"/>
  <c r="AE199" i="18"/>
  <c r="AB125" i="18"/>
  <c r="AG21" i="18"/>
  <c r="AB67" i="18"/>
  <c r="AE50" i="18"/>
  <c r="AE63" i="18"/>
  <c r="AK7" i="18"/>
  <c r="AB162" i="18"/>
  <c r="AJ26" i="18"/>
  <c r="AC135" i="18"/>
  <c r="AB40" i="18"/>
  <c r="AJ102" i="18"/>
  <c r="AB30" i="18"/>
  <c r="AC57" i="18"/>
  <c r="AC21" i="18"/>
  <c r="AB146" i="18"/>
  <c r="AB174" i="18"/>
  <c r="AK175" i="18"/>
  <c r="AE56" i="18"/>
  <c r="AE184" i="18"/>
  <c r="AH114" i="18"/>
  <c r="AB151" i="18"/>
  <c r="AH162" i="18"/>
  <c r="AB159" i="18"/>
  <c r="AE46" i="18"/>
  <c r="AB187" i="18"/>
  <c r="AJ37" i="18"/>
  <c r="AK130" i="18"/>
  <c r="AE103" i="18"/>
  <c r="AK94" i="18"/>
  <c r="AC134" i="18"/>
  <c r="AE91" i="18"/>
  <c r="AJ194" i="18"/>
  <c r="AC177" i="18"/>
  <c r="AE93" i="18"/>
  <c r="AB61" i="18"/>
  <c r="AH134" i="18"/>
  <c r="AG109" i="18"/>
  <c r="AH172" i="18"/>
  <c r="AG112" i="18"/>
  <c r="AC189" i="18"/>
  <c r="AI66" i="18"/>
  <c r="AI202" i="18"/>
  <c r="AJ99" i="18"/>
  <c r="AD130" i="18"/>
  <c r="AJ168" i="18"/>
  <c r="AD143" i="18"/>
  <c r="AB193" i="18"/>
  <c r="AB83" i="18"/>
  <c r="AI96" i="18"/>
  <c r="AE168" i="18"/>
  <c r="AB65" i="18"/>
  <c r="AK138" i="18"/>
  <c r="AB74" i="18"/>
  <c r="AI148" i="18"/>
  <c r="AE188" i="18"/>
  <c r="AG164" i="18"/>
  <c r="AB94" i="18"/>
  <c r="AB91" i="18"/>
  <c r="AC191" i="18"/>
  <c r="AK133" i="18"/>
  <c r="AI187" i="18"/>
  <c r="AE80" i="18"/>
  <c r="AI58" i="18"/>
  <c r="AJ47" i="18"/>
  <c r="AJ133" i="18"/>
  <c r="AB84" i="18"/>
  <c r="AJ164" i="18"/>
  <c r="AD18" i="18"/>
  <c r="AC91" i="18"/>
  <c r="AI52" i="18"/>
  <c r="AH156" i="18"/>
  <c r="AJ185" i="18"/>
  <c r="AC11" i="18"/>
  <c r="AB176" i="18"/>
  <c r="AG184" i="18"/>
  <c r="AI93" i="18"/>
  <c r="AG153" i="18"/>
  <c r="AH186" i="18"/>
  <c r="AD182" i="18"/>
  <c r="AH180" i="18"/>
  <c r="AI188" i="18"/>
  <c r="AC112" i="18"/>
  <c r="AG62" i="18"/>
  <c r="AG47" i="18"/>
  <c r="AE144" i="18"/>
  <c r="AD90" i="18"/>
  <c r="AK166" i="18"/>
  <c r="AH136" i="18"/>
  <c r="AB28" i="18"/>
  <c r="AD49" i="18"/>
  <c r="AH118" i="18"/>
  <c r="AG131" i="18"/>
  <c r="AG82" i="18"/>
  <c r="AG50" i="18"/>
  <c r="AI13" i="18"/>
  <c r="AD175" i="18"/>
  <c r="AH86" i="18"/>
  <c r="AK169" i="18"/>
  <c r="AK102" i="18"/>
  <c r="AJ115" i="18"/>
  <c r="AG147" i="18"/>
  <c r="AK125" i="18"/>
  <c r="AG92" i="18"/>
  <c r="AI20" i="18"/>
  <c r="AJ16" i="18"/>
  <c r="AH95" i="18"/>
  <c r="AG125" i="18"/>
  <c r="AC169" i="18"/>
  <c r="AD149" i="18"/>
  <c r="AH174" i="18"/>
  <c r="AB145" i="18"/>
  <c r="AD83" i="18"/>
  <c r="AC78" i="18"/>
  <c r="AC178" i="18"/>
  <c r="AB184" i="18"/>
  <c r="AD108" i="18"/>
  <c r="AK200" i="18"/>
  <c r="AD198" i="18"/>
  <c r="AJ57" i="18"/>
  <c r="AI104" i="18"/>
  <c r="AD70" i="18"/>
  <c r="AB66" i="18"/>
  <c r="AK9" i="18"/>
  <c r="AE154" i="18"/>
  <c r="AC120" i="18"/>
  <c r="AG133" i="18"/>
  <c r="AD114" i="18"/>
  <c r="AJ127" i="18"/>
  <c r="AC44" i="18"/>
  <c r="AI79" i="18"/>
  <c r="AJ42" i="18"/>
  <c r="AJ161" i="18"/>
  <c r="AG122" i="18"/>
  <c r="AG151" i="18"/>
  <c r="AH36" i="18"/>
  <c r="AD200" i="18"/>
  <c r="AC122" i="18"/>
  <c r="AC28" i="18"/>
  <c r="AI41" i="18"/>
  <c r="AG31" i="18"/>
  <c r="AJ46" i="18"/>
  <c r="AD153" i="18"/>
  <c r="AI103" i="18"/>
  <c r="AB108" i="18"/>
  <c r="AB89" i="18"/>
  <c r="AC179" i="18"/>
  <c r="AH97" i="18"/>
  <c r="AI42" i="18"/>
  <c r="AK179" i="18"/>
  <c r="AI112" i="18"/>
  <c r="AI191" i="18"/>
  <c r="AD42" i="18"/>
  <c r="AE176" i="18"/>
  <c r="AG44" i="18"/>
  <c r="AE86" i="18"/>
  <c r="AI65" i="18"/>
  <c r="AK22" i="18"/>
  <c r="AI97" i="18"/>
  <c r="AH183" i="18"/>
  <c r="AB194" i="18"/>
  <c r="AC183" i="18"/>
  <c r="AD44" i="18"/>
  <c r="AH71" i="18"/>
  <c r="AD56" i="18"/>
  <c r="AK67" i="18"/>
  <c r="AK139" i="18"/>
  <c r="AB149" i="18"/>
  <c r="AI25" i="18"/>
  <c r="AB25" i="18"/>
  <c r="AJ117" i="18"/>
  <c r="AK143" i="18"/>
  <c r="AI34" i="18"/>
  <c r="AH57" i="18"/>
  <c r="AH39" i="18"/>
  <c r="AH182" i="18"/>
  <c r="AE163" i="18"/>
  <c r="AE94" i="18"/>
  <c r="AB127" i="18"/>
  <c r="AJ191" i="18"/>
  <c r="AK97" i="18"/>
  <c r="AJ188" i="18"/>
  <c r="AB75" i="18"/>
  <c r="AK69" i="18"/>
  <c r="AK25" i="18"/>
  <c r="AG181" i="18"/>
  <c r="AK184" i="18"/>
  <c r="AH20" i="18"/>
  <c r="AC146" i="18"/>
  <c r="AH129" i="18"/>
  <c r="AJ198" i="18"/>
  <c r="AH132" i="18"/>
  <c r="AD87" i="18"/>
  <c r="AI88" i="18"/>
  <c r="AC199" i="18"/>
  <c r="AD95" i="18"/>
  <c r="AK170" i="18"/>
  <c r="AH188" i="18"/>
  <c r="AE139" i="18"/>
  <c r="AD101" i="18"/>
  <c r="AE127" i="18"/>
  <c r="AD173" i="18"/>
  <c r="AK176" i="18"/>
  <c r="AB11" i="18"/>
  <c r="AB15" i="18"/>
  <c r="AG146" i="18"/>
  <c r="AC110" i="18"/>
  <c r="AD189" i="18"/>
  <c r="AG163" i="18"/>
  <c r="AI133" i="18"/>
  <c r="AH140" i="18"/>
  <c r="AB180" i="18"/>
  <c r="AH48" i="18"/>
  <c r="AK66" i="18"/>
  <c r="AH201" i="18"/>
  <c r="AE136" i="18"/>
  <c r="AC102" i="18"/>
  <c r="AG192" i="18"/>
  <c r="AB130" i="18"/>
  <c r="AG78" i="18"/>
  <c r="AK142" i="18"/>
  <c r="AJ82" i="18"/>
  <c r="AE24" i="18"/>
  <c r="AJ114" i="18"/>
  <c r="AD64" i="18"/>
  <c r="AB121" i="18"/>
  <c r="AG154" i="18"/>
  <c r="AH91" i="18"/>
  <c r="AD194" i="18"/>
  <c r="AC10" i="18"/>
  <c r="AJ123" i="18"/>
  <c r="AG61" i="18"/>
  <c r="AB20" i="18"/>
  <c r="AG142" i="18"/>
  <c r="AG79" i="18"/>
  <c r="AI84" i="18"/>
  <c r="AC201" i="18"/>
  <c r="AH68" i="18"/>
  <c r="AG67" i="18"/>
  <c r="AG119" i="18"/>
  <c r="AB161" i="18"/>
  <c r="AJ146" i="18"/>
  <c r="AD21" i="18"/>
  <c r="AG76" i="18"/>
  <c r="AB9" i="18"/>
  <c r="AI154" i="18"/>
  <c r="AE122" i="18"/>
  <c r="AI47" i="18"/>
  <c r="AC151" i="18"/>
  <c r="AI145" i="18"/>
  <c r="AE146" i="18"/>
  <c r="AK197" i="18"/>
  <c r="AJ56" i="18"/>
  <c r="AJ197" i="18"/>
  <c r="AB183" i="18"/>
  <c r="AK8" i="18"/>
  <c r="AJ182" i="18"/>
  <c r="AH84" i="18"/>
  <c r="AH56" i="18"/>
  <c r="AK196" i="18"/>
  <c r="AB3" i="18"/>
  <c r="AJ4" i="18"/>
  <c r="AJ3" i="18"/>
  <c r="AE4" i="18"/>
  <c r="AD4" i="18"/>
  <c r="AD3" i="18"/>
  <c r="AI4" i="18"/>
  <c r="AE3" i="18"/>
  <c r="AI3" i="18"/>
  <c r="AH3" i="18"/>
  <c r="AC3" i="18"/>
  <c r="AG4" i="18"/>
  <c r="AC4" i="18"/>
  <c r="AH4" i="18"/>
  <c r="AG3" i="18"/>
  <c r="AB4" i="18"/>
  <c r="AK4" i="18"/>
  <c r="AT61" i="17"/>
  <c r="AT264" i="17" s="1"/>
  <c r="Q184" i="10"/>
  <c r="V3" i="10"/>
  <c r="R183" i="10"/>
  <c r="T149" i="10"/>
  <c r="T13" i="10"/>
  <c r="X6" i="10"/>
  <c r="P192" i="10"/>
  <c r="T83" i="10"/>
  <c r="V159" i="10"/>
  <c r="Q8" i="10"/>
  <c r="W7" i="10"/>
  <c r="T3" i="10"/>
  <c r="W32" i="10"/>
  <c r="P50" i="10"/>
  <c r="P6" i="10"/>
  <c r="O108" i="10"/>
  <c r="R126" i="10"/>
  <c r="T72" i="10"/>
  <c r="W84" i="10"/>
  <c r="X100" i="10"/>
  <c r="X78" i="10"/>
  <c r="U8" i="10"/>
  <c r="Q7" i="10"/>
  <c r="X5" i="10"/>
  <c r="U3" i="10"/>
  <c r="T4" i="10"/>
  <c r="V180" i="10"/>
  <c r="Q64" i="10"/>
  <c r="V87" i="10"/>
  <c r="V6" i="10"/>
  <c r="P125" i="10"/>
  <c r="W88" i="10"/>
  <c r="P7" i="10"/>
  <c r="V77" i="10"/>
  <c r="X118" i="10"/>
  <c r="U158" i="10"/>
  <c r="T8" i="10"/>
  <c r="O103" i="10"/>
  <c r="V127" i="10"/>
  <c r="T7" i="10"/>
  <c r="R112" i="10"/>
  <c r="V81" i="10"/>
  <c r="P55" i="10"/>
  <c r="W176" i="10"/>
  <c r="P99" i="10"/>
  <c r="R185" i="10"/>
  <c r="O158" i="10"/>
  <c r="O111" i="10"/>
  <c r="U95" i="10"/>
  <c r="R14" i="10"/>
  <c r="W8" i="10"/>
  <c r="P90" i="10"/>
  <c r="U6" i="10"/>
  <c r="R6" i="10"/>
  <c r="W3" i="10"/>
  <c r="P131" i="10"/>
  <c r="O154" i="10"/>
  <c r="O131" i="10"/>
  <c r="R43" i="10"/>
  <c r="P88" i="10"/>
  <c r="Q54" i="10"/>
  <c r="R54" i="10"/>
  <c r="V152" i="10"/>
  <c r="V173" i="10"/>
  <c r="Q15" i="10"/>
  <c r="T119" i="10"/>
  <c r="R97" i="10"/>
  <c r="P76" i="10"/>
  <c r="V80" i="10"/>
  <c r="Q171" i="10"/>
  <c r="V124" i="10"/>
  <c r="W108" i="10"/>
  <c r="W112" i="10"/>
  <c r="P61" i="10"/>
  <c r="W40" i="10"/>
  <c r="Q55" i="10"/>
  <c r="V33" i="10"/>
  <c r="T137" i="10"/>
  <c r="T51" i="10"/>
  <c r="X101" i="10"/>
  <c r="O129" i="10"/>
  <c r="P93" i="10"/>
  <c r="T156" i="10"/>
  <c r="X53" i="10"/>
  <c r="Q162" i="10"/>
  <c r="X25" i="10"/>
  <c r="Q80" i="10"/>
  <c r="V28" i="10"/>
  <c r="T135" i="10"/>
  <c r="X46" i="10"/>
  <c r="V7" i="10"/>
  <c r="O7" i="10"/>
  <c r="X116" i="10"/>
  <c r="W126" i="10"/>
  <c r="X65" i="10"/>
  <c r="X7" i="10"/>
  <c r="X8" i="10"/>
  <c r="R8" i="10"/>
  <c r="U7" i="10"/>
  <c r="O8" i="10"/>
  <c r="U5" i="10"/>
  <c r="Q3" i="10"/>
  <c r="R3" i="10"/>
  <c r="R189" i="10"/>
  <c r="U42" i="10"/>
  <c r="V169" i="10"/>
  <c r="V195" i="10"/>
  <c r="Q63" i="10"/>
  <c r="X19" i="10"/>
  <c r="V23" i="10"/>
  <c r="U54" i="10"/>
  <c r="O29" i="10"/>
  <c r="U43" i="10"/>
  <c r="R179" i="10"/>
  <c r="Q72" i="10"/>
  <c r="R61" i="10"/>
  <c r="R17" i="10"/>
  <c r="Q46" i="10"/>
  <c r="X95" i="10"/>
  <c r="R141" i="10"/>
  <c r="Q153" i="10"/>
  <c r="W103" i="10"/>
  <c r="V68" i="10"/>
  <c r="P170" i="10"/>
  <c r="Q123" i="10"/>
  <c r="V145" i="10"/>
  <c r="U117" i="10"/>
  <c r="U30" i="10"/>
  <c r="T61" i="10"/>
  <c r="X79" i="10"/>
  <c r="P48" i="10"/>
  <c r="U127" i="10"/>
  <c r="T31" i="10"/>
  <c r="Q71" i="10"/>
  <c r="W136" i="10"/>
  <c r="V178" i="10"/>
  <c r="U101" i="10"/>
  <c r="W122" i="10"/>
  <c r="W36" i="10"/>
  <c r="U51" i="10"/>
  <c r="U18" i="10"/>
  <c r="V15" i="10"/>
  <c r="T132" i="10"/>
  <c r="R194" i="10"/>
  <c r="Q76" i="10"/>
  <c r="O66" i="10"/>
  <c r="T128" i="10"/>
  <c r="R86" i="10"/>
  <c r="O91" i="10"/>
  <c r="T142" i="10"/>
  <c r="P200" i="10"/>
  <c r="X23" i="10"/>
  <c r="P164" i="10"/>
  <c r="V49" i="10"/>
  <c r="X171" i="10"/>
  <c r="V199" i="10"/>
  <c r="V135" i="10"/>
  <c r="X146" i="10"/>
  <c r="P11" i="10"/>
  <c r="T42" i="10"/>
  <c r="U82" i="10"/>
  <c r="R21" i="10"/>
  <c r="P82" i="10"/>
  <c r="R23" i="10"/>
  <c r="W86" i="10"/>
  <c r="U25" i="10"/>
  <c r="V153" i="10"/>
  <c r="O67" i="10"/>
  <c r="U112" i="10"/>
  <c r="P31" i="10"/>
  <c r="V74" i="10"/>
  <c r="U198" i="10"/>
  <c r="T186" i="10"/>
  <c r="V175" i="10"/>
  <c r="Q116" i="10"/>
  <c r="V160" i="10"/>
  <c r="W151" i="10"/>
  <c r="O73" i="10"/>
  <c r="Q135" i="10"/>
  <c r="T21" i="10"/>
  <c r="R94" i="10"/>
  <c r="R169" i="10"/>
  <c r="W197" i="10"/>
  <c r="P119" i="10"/>
  <c r="U111" i="10"/>
  <c r="V69" i="10"/>
  <c r="Q97" i="10"/>
  <c r="T82" i="10"/>
  <c r="R52" i="10"/>
  <c r="T22" i="10"/>
  <c r="P59" i="10"/>
  <c r="R134" i="10"/>
  <c r="X181" i="10"/>
  <c r="W134" i="10"/>
  <c r="T110" i="10"/>
  <c r="P80" i="10"/>
  <c r="T89" i="10"/>
  <c r="O121" i="10"/>
  <c r="R79" i="10"/>
  <c r="R111" i="10"/>
  <c r="O18" i="10"/>
  <c r="P186" i="10"/>
  <c r="Q126" i="10"/>
  <c r="W79" i="10"/>
  <c r="X139" i="10"/>
  <c r="V95" i="10"/>
  <c r="Q67" i="10"/>
  <c r="V118" i="10"/>
  <c r="U114" i="10"/>
  <c r="V183" i="10"/>
  <c r="R98" i="10"/>
  <c r="Q79" i="10"/>
  <c r="U70" i="10"/>
  <c r="R78" i="10"/>
  <c r="U38" i="10"/>
  <c r="T24" i="10"/>
  <c r="O114" i="10"/>
  <c r="Q45" i="10"/>
  <c r="O184" i="10"/>
  <c r="W61" i="10"/>
  <c r="U109" i="10"/>
  <c r="X74" i="10"/>
  <c r="X112" i="10"/>
  <c r="O169" i="10"/>
  <c r="O39" i="10"/>
  <c r="Q73" i="10"/>
  <c r="P168" i="10"/>
  <c r="U63" i="10"/>
  <c r="U60" i="10"/>
  <c r="T71" i="10"/>
  <c r="Q26" i="10"/>
  <c r="U105" i="10"/>
  <c r="V108" i="10"/>
  <c r="P67" i="10"/>
  <c r="V126" i="10"/>
  <c r="V132" i="10"/>
  <c r="W52" i="10"/>
  <c r="V133" i="10"/>
  <c r="W150" i="10"/>
  <c r="T33" i="10"/>
  <c r="O45" i="10"/>
  <c r="X77" i="10"/>
  <c r="T170" i="10"/>
  <c r="V41" i="10"/>
  <c r="T75" i="10"/>
  <c r="Q20" i="10"/>
  <c r="T109" i="10"/>
  <c r="Q133" i="10"/>
  <c r="U29" i="10"/>
  <c r="T189" i="10"/>
  <c r="O11" i="10"/>
  <c r="X10" i="10"/>
  <c r="W110" i="10"/>
  <c r="X73" i="10"/>
  <c r="T64" i="10"/>
  <c r="X56" i="10"/>
  <c r="V121" i="10"/>
  <c r="U165" i="10"/>
  <c r="Q201" i="10"/>
  <c r="U45" i="10"/>
  <c r="R51" i="10"/>
  <c r="P60" i="10"/>
  <c r="Q98" i="10"/>
  <c r="Q159" i="10"/>
  <c r="P10" i="10"/>
  <c r="P96" i="10"/>
  <c r="T145" i="10"/>
  <c r="V10" i="10"/>
  <c r="U108" i="10"/>
  <c r="X201" i="10"/>
  <c r="T123" i="10"/>
  <c r="R19" i="10"/>
  <c r="U73" i="10"/>
  <c r="P73" i="10"/>
  <c r="X110" i="10"/>
  <c r="U67" i="10"/>
  <c r="P89" i="10"/>
  <c r="V26" i="10"/>
  <c r="P100" i="10"/>
  <c r="Q202" i="10"/>
  <c r="T20" i="10"/>
  <c r="P12" i="10"/>
  <c r="O167" i="10"/>
  <c r="U46" i="10"/>
  <c r="O117" i="10"/>
  <c r="R127" i="10"/>
  <c r="R192" i="10"/>
  <c r="T153" i="10"/>
  <c r="W184" i="10"/>
  <c r="R132" i="10"/>
  <c r="O122" i="10"/>
  <c r="Q38" i="10"/>
  <c r="U171" i="10"/>
  <c r="U179" i="10"/>
  <c r="X130" i="10"/>
  <c r="P41" i="10"/>
  <c r="R170" i="10"/>
  <c r="V52" i="10"/>
  <c r="X85" i="10"/>
  <c r="R117" i="10"/>
  <c r="W174" i="10"/>
  <c r="W99" i="10"/>
  <c r="T86" i="10"/>
  <c r="P157" i="10"/>
  <c r="T91" i="10"/>
  <c r="T49" i="10"/>
  <c r="P56" i="10"/>
  <c r="O26" i="10"/>
  <c r="V185" i="10"/>
  <c r="U9" i="10"/>
  <c r="R93" i="10"/>
  <c r="O58" i="10"/>
  <c r="Q141" i="10"/>
  <c r="X86" i="10"/>
  <c r="Q185" i="10"/>
  <c r="P194" i="10"/>
  <c r="Q60" i="10"/>
  <c r="O156" i="10"/>
  <c r="W127" i="10"/>
  <c r="U19" i="10"/>
  <c r="O141" i="10"/>
  <c r="O59" i="10"/>
  <c r="X193" i="10"/>
  <c r="X41" i="10"/>
  <c r="P183" i="10"/>
  <c r="Q182" i="10"/>
  <c r="R177" i="10"/>
  <c r="R125" i="10"/>
  <c r="R176" i="10"/>
  <c r="X151" i="10"/>
  <c r="X178" i="10"/>
  <c r="P137" i="10"/>
  <c r="R57" i="10"/>
  <c r="V202" i="10"/>
  <c r="V58" i="10"/>
  <c r="P144" i="10"/>
  <c r="W46" i="10"/>
  <c r="Q131" i="10"/>
  <c r="W196" i="10"/>
  <c r="O80" i="10"/>
  <c r="V9" i="10"/>
  <c r="O188" i="10"/>
  <c r="T11" i="10"/>
  <c r="O34" i="10"/>
  <c r="P155" i="10"/>
  <c r="R172" i="10"/>
  <c r="W11" i="10"/>
  <c r="Q168" i="10"/>
  <c r="P166" i="10"/>
  <c r="P161" i="10"/>
  <c r="Q145" i="10"/>
  <c r="V19" i="10"/>
  <c r="X9" i="10"/>
  <c r="P19" i="10"/>
  <c r="U154" i="10"/>
  <c r="Q17" i="10"/>
  <c r="X14" i="10"/>
  <c r="V141" i="10"/>
  <c r="P38" i="10"/>
  <c r="O115" i="10"/>
  <c r="R110" i="10"/>
  <c r="P163" i="10"/>
  <c r="W128" i="10"/>
  <c r="P84" i="10"/>
  <c r="T29" i="10"/>
  <c r="R182" i="10"/>
  <c r="O17" i="10"/>
  <c r="X88" i="10"/>
  <c r="V92" i="10"/>
  <c r="X32" i="10"/>
  <c r="W95" i="10"/>
  <c r="W93" i="10"/>
  <c r="W107" i="10"/>
  <c r="O151" i="10"/>
  <c r="W194" i="10"/>
  <c r="R95" i="10"/>
  <c r="T114" i="10"/>
  <c r="O49" i="10"/>
  <c r="U104" i="10"/>
  <c r="W124" i="10"/>
  <c r="T60" i="10"/>
  <c r="R119" i="10"/>
  <c r="R55" i="10"/>
  <c r="T184" i="10"/>
  <c r="P42" i="10"/>
  <c r="R67" i="10"/>
  <c r="U23" i="10"/>
  <c r="T118" i="10"/>
  <c r="T174" i="10"/>
  <c r="W10" i="10"/>
  <c r="P21" i="10"/>
  <c r="O191" i="10"/>
  <c r="Q88" i="10"/>
  <c r="R150" i="10"/>
  <c r="X81" i="10"/>
  <c r="W186" i="10"/>
  <c r="P142" i="10"/>
  <c r="V168" i="10"/>
  <c r="V86" i="10"/>
  <c r="V91" i="10"/>
  <c r="X31" i="10"/>
  <c r="V11" i="10"/>
  <c r="P135" i="10"/>
  <c r="R30" i="10"/>
  <c r="W101" i="10"/>
  <c r="Q77" i="10"/>
  <c r="P24" i="10"/>
  <c r="R50" i="10"/>
  <c r="W133" i="10"/>
  <c r="R137" i="10"/>
  <c r="U85" i="10"/>
  <c r="U153" i="10"/>
  <c r="U128" i="10"/>
  <c r="W179" i="10"/>
  <c r="T163" i="10"/>
  <c r="T10" i="10"/>
  <c r="V97" i="10"/>
  <c r="O24" i="10"/>
  <c r="O96" i="10"/>
  <c r="Q125" i="10"/>
  <c r="T101" i="10"/>
  <c r="P37" i="10"/>
  <c r="P165" i="10"/>
  <c r="V53" i="10"/>
  <c r="P148" i="10"/>
  <c r="U138" i="10"/>
  <c r="Q177" i="10"/>
  <c r="W74" i="10"/>
  <c r="U28" i="10"/>
  <c r="R187" i="10"/>
  <c r="T23" i="10"/>
  <c r="T183" i="10"/>
  <c r="O109" i="10"/>
  <c r="O127" i="10"/>
  <c r="T105" i="10"/>
  <c r="Q90" i="10"/>
  <c r="T40" i="10"/>
  <c r="Q44" i="10"/>
  <c r="V136" i="10"/>
  <c r="W55" i="10"/>
  <c r="T159" i="10"/>
  <c r="T195" i="10"/>
  <c r="X162" i="10"/>
  <c r="P158" i="10"/>
  <c r="R63" i="10"/>
  <c r="R91" i="10"/>
  <c r="O36" i="10"/>
  <c r="U159" i="10"/>
  <c r="U20" i="10"/>
  <c r="W30" i="10"/>
  <c r="U10" i="10"/>
  <c r="X49" i="10"/>
  <c r="P104" i="10"/>
  <c r="X177" i="10"/>
  <c r="Q160" i="10"/>
  <c r="O175" i="10"/>
  <c r="Q124" i="10"/>
  <c r="X22" i="10"/>
  <c r="V30" i="10"/>
  <c r="R69" i="10"/>
  <c r="R73" i="10"/>
  <c r="W51" i="10"/>
  <c r="X165" i="10"/>
  <c r="T194" i="10"/>
  <c r="T55" i="10"/>
  <c r="X147" i="10"/>
  <c r="Q62" i="10"/>
  <c r="U188" i="10"/>
  <c r="U68" i="10"/>
  <c r="P154" i="10"/>
  <c r="W141" i="10"/>
  <c r="X168" i="10"/>
  <c r="P34" i="10"/>
  <c r="O16" i="10"/>
  <c r="O52" i="10"/>
  <c r="O112" i="10"/>
  <c r="T115" i="10"/>
  <c r="O186" i="10"/>
  <c r="Q52" i="10"/>
  <c r="O21" i="10"/>
  <c r="V88" i="10"/>
  <c r="X194" i="10"/>
  <c r="T158" i="10"/>
  <c r="V54" i="10"/>
  <c r="X97" i="10"/>
  <c r="W152" i="10"/>
  <c r="X192" i="10"/>
  <c r="Q129" i="10"/>
  <c r="Q127" i="10"/>
  <c r="O42" i="10"/>
  <c r="V186" i="10"/>
  <c r="T187" i="10"/>
  <c r="W77" i="10"/>
  <c r="U182" i="10"/>
  <c r="V44" i="10"/>
  <c r="T103" i="10"/>
  <c r="O38" i="10"/>
  <c r="X76" i="10"/>
  <c r="W12" i="10"/>
  <c r="Q31" i="10"/>
  <c r="O137" i="10"/>
  <c r="Q195" i="10"/>
  <c r="V197" i="10"/>
  <c r="V35" i="10"/>
  <c r="O107" i="10"/>
  <c r="Q36" i="10"/>
  <c r="T120" i="10"/>
  <c r="O120" i="10"/>
  <c r="O198" i="10"/>
  <c r="X30" i="10"/>
  <c r="R15" i="10"/>
  <c r="P149" i="10"/>
  <c r="P115" i="10"/>
  <c r="W190" i="10"/>
  <c r="V84" i="10"/>
  <c r="O178" i="10"/>
  <c r="R154" i="10"/>
  <c r="O98" i="10"/>
  <c r="P15" i="10"/>
  <c r="R202" i="10"/>
  <c r="O171" i="10"/>
  <c r="T202" i="10"/>
  <c r="T16" i="10"/>
  <c r="T171" i="10"/>
  <c r="X17" i="10"/>
  <c r="W188" i="10"/>
  <c r="X61" i="10"/>
  <c r="U84" i="10"/>
  <c r="P9" i="10"/>
  <c r="X93" i="10"/>
  <c r="U66" i="10"/>
  <c r="U134" i="10"/>
  <c r="P94" i="10"/>
  <c r="O157" i="10"/>
  <c r="X176" i="10"/>
  <c r="O51" i="10"/>
  <c r="U113" i="10"/>
  <c r="T161" i="10"/>
  <c r="O195" i="10"/>
  <c r="U121" i="10"/>
  <c r="Q11" i="10"/>
  <c r="Q59" i="10"/>
  <c r="P177" i="10"/>
  <c r="W54" i="10"/>
  <c r="W106" i="10"/>
  <c r="T192" i="10"/>
  <c r="P47" i="10"/>
  <c r="Q114" i="10"/>
  <c r="Q169" i="10"/>
  <c r="U39" i="10"/>
  <c r="R9" i="10"/>
  <c r="Q101" i="10"/>
  <c r="T155" i="10"/>
  <c r="U152" i="10"/>
  <c r="Q32" i="10"/>
  <c r="R114" i="10"/>
  <c r="U34" i="10"/>
  <c r="V198" i="10"/>
  <c r="V40" i="10"/>
  <c r="O12" i="10"/>
  <c r="W73" i="10"/>
  <c r="R103" i="10"/>
  <c r="Q91" i="10"/>
  <c r="O110" i="10"/>
  <c r="R195" i="10"/>
  <c r="T179" i="10"/>
  <c r="P140" i="10"/>
  <c r="V55" i="10"/>
  <c r="Q173" i="10"/>
  <c r="T141" i="10"/>
  <c r="P196" i="10"/>
  <c r="T92" i="10"/>
  <c r="O20" i="10"/>
  <c r="W111" i="10"/>
  <c r="R44" i="10"/>
  <c r="V67" i="10"/>
  <c r="X24" i="10"/>
  <c r="P18" i="10"/>
  <c r="T122" i="10"/>
  <c r="W187" i="10"/>
  <c r="T106" i="10"/>
  <c r="W27" i="10"/>
  <c r="X29" i="10"/>
  <c r="W181" i="10"/>
  <c r="O37" i="10"/>
  <c r="R146" i="10"/>
  <c r="P83" i="10"/>
  <c r="P51" i="10"/>
  <c r="T130" i="10"/>
  <c r="X199" i="10"/>
  <c r="Q22" i="10"/>
  <c r="P173" i="10"/>
  <c r="X113" i="10"/>
  <c r="Q148" i="10"/>
  <c r="T201" i="10"/>
  <c r="Q100" i="10"/>
  <c r="O41" i="10"/>
  <c r="Q40" i="10"/>
  <c r="X35" i="10"/>
  <c r="U175" i="10"/>
  <c r="R178" i="10"/>
  <c r="V109" i="10"/>
  <c r="V99" i="10"/>
  <c r="P30" i="10"/>
  <c r="U146" i="10"/>
  <c r="T65" i="10"/>
  <c r="T9" i="10"/>
  <c r="O155" i="10"/>
  <c r="V194" i="10"/>
  <c r="X43" i="10"/>
  <c r="T144" i="10"/>
  <c r="Q170" i="10"/>
  <c r="P92" i="10"/>
  <c r="Q34" i="10"/>
  <c r="W201" i="10"/>
  <c r="U144" i="10"/>
  <c r="U194" i="10"/>
  <c r="Q10" i="10"/>
  <c r="T45" i="10"/>
  <c r="T182" i="10"/>
  <c r="O70" i="10"/>
  <c r="Q102" i="10"/>
  <c r="W57" i="10"/>
  <c r="O197" i="10"/>
  <c r="U151" i="10"/>
  <c r="O136" i="10"/>
  <c r="X119" i="10"/>
  <c r="O147" i="10"/>
  <c r="Q140" i="10"/>
  <c r="P77" i="10"/>
  <c r="T112" i="10"/>
  <c r="T38" i="10"/>
  <c r="X80" i="10"/>
  <c r="T173" i="10"/>
  <c r="V167" i="10"/>
  <c r="R11" i="10"/>
  <c r="P162" i="10"/>
  <c r="V83" i="10"/>
  <c r="U115" i="10"/>
  <c r="X166" i="10"/>
  <c r="O139" i="10"/>
  <c r="U181" i="10"/>
  <c r="W129" i="10"/>
  <c r="Q103" i="10"/>
  <c r="U163" i="10"/>
  <c r="V103" i="10"/>
  <c r="Q172" i="10"/>
  <c r="Q58" i="10"/>
  <c r="P189" i="10"/>
  <c r="U88" i="10"/>
  <c r="V154" i="10"/>
  <c r="O189" i="10"/>
  <c r="X111" i="10"/>
  <c r="O74" i="10"/>
  <c r="X62" i="10"/>
  <c r="O95" i="10"/>
  <c r="X114" i="10"/>
  <c r="W102" i="10"/>
  <c r="P25" i="10"/>
  <c r="X75" i="10"/>
  <c r="Q47" i="10"/>
  <c r="R13" i="10"/>
  <c r="P27" i="10"/>
  <c r="Q132" i="10"/>
  <c r="Q13" i="10"/>
  <c r="O44" i="10"/>
  <c r="Q180" i="10"/>
  <c r="R36" i="10"/>
  <c r="R144" i="10"/>
  <c r="O194" i="10"/>
  <c r="X158" i="10"/>
  <c r="P91" i="10"/>
  <c r="R39" i="10"/>
  <c r="O76" i="10"/>
  <c r="U185" i="10"/>
  <c r="P198" i="10"/>
  <c r="O168" i="10"/>
  <c r="O14" i="10"/>
  <c r="Q89" i="10"/>
  <c r="Q99" i="10"/>
  <c r="U202" i="10"/>
  <c r="R165" i="10"/>
  <c r="O90" i="10"/>
  <c r="O9" i="10"/>
  <c r="Q50" i="10"/>
  <c r="T166" i="10"/>
  <c r="Q18" i="10"/>
  <c r="T198" i="10"/>
  <c r="R104" i="10"/>
  <c r="W45" i="10"/>
  <c r="T147" i="10"/>
  <c r="O164" i="10"/>
  <c r="T52" i="10"/>
  <c r="P20" i="10"/>
  <c r="T180" i="10"/>
  <c r="X60" i="10"/>
  <c r="Q39" i="10"/>
  <c r="T136" i="10"/>
  <c r="U160" i="10"/>
  <c r="O81" i="10"/>
  <c r="X156" i="10"/>
  <c r="T181" i="10"/>
  <c r="P29" i="10"/>
  <c r="O166" i="10"/>
  <c r="Q109" i="10"/>
  <c r="X157" i="10"/>
  <c r="W120" i="10"/>
  <c r="P201" i="10"/>
  <c r="X161" i="10"/>
  <c r="O134" i="10"/>
  <c r="V42" i="10"/>
  <c r="W200" i="10"/>
  <c r="R16" i="10"/>
  <c r="R196" i="10"/>
  <c r="T188" i="10"/>
  <c r="X102" i="10"/>
  <c r="P193" i="10"/>
  <c r="U12" i="10"/>
  <c r="W113" i="10"/>
  <c r="P107" i="10"/>
  <c r="R184" i="10"/>
  <c r="R96" i="10"/>
  <c r="W182" i="10"/>
  <c r="V14" i="10"/>
  <c r="R181" i="10"/>
  <c r="P191" i="10"/>
  <c r="Q137" i="10"/>
  <c r="P167" i="10"/>
  <c r="P114" i="10"/>
  <c r="X173" i="10"/>
  <c r="X109" i="10"/>
  <c r="U192" i="10"/>
  <c r="P33" i="10"/>
  <c r="X174" i="10"/>
  <c r="P70" i="10"/>
  <c r="U136" i="10"/>
  <c r="Q189" i="10"/>
  <c r="X185" i="10"/>
  <c r="V120" i="10"/>
  <c r="W89" i="10"/>
  <c r="O126" i="10"/>
  <c r="P111" i="10"/>
  <c r="T113" i="10"/>
  <c r="W165" i="10"/>
  <c r="W67" i="10"/>
  <c r="W138" i="10"/>
  <c r="W76" i="10"/>
  <c r="Q75" i="10"/>
  <c r="U96" i="10"/>
  <c r="R161" i="10"/>
  <c r="W69" i="10"/>
  <c r="U100" i="10"/>
  <c r="R191" i="10"/>
  <c r="Q197" i="10"/>
  <c r="U129" i="10"/>
  <c r="W59" i="10"/>
  <c r="U137" i="10"/>
  <c r="Q193" i="10"/>
  <c r="W17" i="10"/>
  <c r="R81" i="10"/>
  <c r="P17" i="10"/>
  <c r="W15" i="10"/>
  <c r="O55" i="10"/>
  <c r="X69" i="10"/>
  <c r="O6" i="10"/>
  <c r="X105" i="10"/>
  <c r="T178" i="10"/>
  <c r="R10" i="10"/>
  <c r="T58" i="10"/>
  <c r="V8" i="10"/>
  <c r="P8" i="10"/>
  <c r="W9" i="10"/>
  <c r="T6" i="10"/>
  <c r="X3" i="10"/>
  <c r="O4" i="10"/>
  <c r="T47" i="10"/>
  <c r="R48" i="10"/>
  <c r="V60" i="10"/>
  <c r="U173" i="10"/>
  <c r="T125" i="10"/>
  <c r="V46" i="10"/>
  <c r="O83" i="10"/>
  <c r="V191" i="10"/>
  <c r="U36" i="10"/>
  <c r="W83" i="10"/>
  <c r="R35" i="10"/>
  <c r="W78" i="10"/>
  <c r="O28" i="10"/>
  <c r="P184" i="10"/>
  <c r="V37" i="10"/>
  <c r="Q191" i="10"/>
  <c r="X140" i="10"/>
  <c r="Q121" i="10"/>
  <c r="W42" i="10"/>
  <c r="Q87" i="10"/>
  <c r="W85" i="10"/>
  <c r="X198" i="10"/>
  <c r="U37" i="10"/>
  <c r="X96" i="10"/>
  <c r="O86" i="10"/>
  <c r="V100" i="10"/>
  <c r="T99" i="10"/>
  <c r="O10" i="10"/>
  <c r="T5" i="10"/>
  <c r="R128" i="10"/>
  <c r="X172" i="10"/>
  <c r="T98" i="10"/>
  <c r="V34" i="10"/>
  <c r="V129" i="10"/>
  <c r="V162" i="10"/>
  <c r="W172" i="10"/>
  <c r="Q196" i="10"/>
  <c r="W195" i="10"/>
  <c r="Q151" i="10"/>
  <c r="R34" i="10"/>
  <c r="V156" i="10"/>
  <c r="O71" i="10"/>
  <c r="W163" i="10"/>
  <c r="W87" i="10"/>
  <c r="Q57" i="10"/>
  <c r="X108" i="10"/>
  <c r="T88" i="10"/>
  <c r="P98" i="10"/>
  <c r="U126" i="10"/>
  <c r="T59" i="10"/>
  <c r="Q150" i="10"/>
  <c r="V139" i="10"/>
  <c r="Q134" i="10"/>
  <c r="R74" i="10"/>
  <c r="X38" i="10"/>
  <c r="Q30" i="10"/>
  <c r="U118" i="10"/>
  <c r="X4" i="10"/>
  <c r="Q5" i="10"/>
  <c r="W5" i="10"/>
  <c r="V128" i="10"/>
  <c r="U16" i="10"/>
  <c r="W38" i="10"/>
  <c r="W160" i="10"/>
  <c r="X183" i="10"/>
  <c r="R28" i="10"/>
  <c r="U81" i="10"/>
  <c r="T176" i="10"/>
  <c r="O181" i="10"/>
  <c r="R143" i="10"/>
  <c r="U176" i="10"/>
  <c r="P159" i="10"/>
  <c r="V182" i="10"/>
  <c r="O79" i="10"/>
  <c r="W198" i="10"/>
  <c r="X54" i="10"/>
  <c r="R88" i="10"/>
  <c r="T93" i="10"/>
  <c r="W39" i="10"/>
  <c r="W153" i="10"/>
  <c r="W25" i="10"/>
  <c r="V45" i="10"/>
  <c r="U157" i="10"/>
  <c r="P147" i="10"/>
  <c r="R120" i="10"/>
  <c r="R70" i="10"/>
  <c r="W121" i="10"/>
  <c r="V22" i="10"/>
  <c r="U161" i="10"/>
  <c r="T17" i="10"/>
  <c r="O150" i="10"/>
  <c r="O46" i="10"/>
  <c r="X122" i="10"/>
  <c r="Q110" i="10"/>
  <c r="R129" i="10"/>
  <c r="T25" i="10"/>
  <c r="P109" i="10"/>
  <c r="Q176" i="10"/>
  <c r="O15" i="10"/>
  <c r="X36" i="10"/>
  <c r="W43" i="10"/>
  <c r="R20" i="10"/>
  <c r="W109" i="10"/>
  <c r="U80" i="10"/>
  <c r="O128" i="10"/>
  <c r="Q96" i="10"/>
  <c r="W180" i="10"/>
  <c r="Q155" i="10"/>
  <c r="W90" i="10"/>
  <c r="P106" i="10"/>
  <c r="T43" i="10"/>
  <c r="U59" i="10"/>
  <c r="W114" i="10"/>
  <c r="V71" i="10"/>
  <c r="W192" i="10"/>
  <c r="R76" i="10"/>
  <c r="O64" i="10"/>
  <c r="X50" i="10"/>
  <c r="R42" i="10"/>
  <c r="Q120" i="10"/>
  <c r="Q94" i="10"/>
  <c r="R107" i="10"/>
  <c r="W139" i="10"/>
  <c r="Q25" i="10"/>
  <c r="P185" i="10"/>
  <c r="U166" i="10"/>
  <c r="U75" i="10"/>
  <c r="O172" i="10"/>
  <c r="P39" i="10"/>
  <c r="R84" i="10"/>
  <c r="Q12" i="10"/>
  <c r="U116" i="10"/>
  <c r="O50" i="10"/>
  <c r="V76" i="10"/>
  <c r="V193" i="10"/>
  <c r="V48" i="10"/>
  <c r="O124" i="10"/>
  <c r="R29" i="10"/>
  <c r="O118" i="10"/>
  <c r="W96" i="10"/>
  <c r="O105" i="10"/>
  <c r="Q122" i="10"/>
  <c r="X82" i="10"/>
  <c r="U61" i="10"/>
  <c r="X160" i="10"/>
  <c r="T96" i="10"/>
  <c r="P45" i="10"/>
  <c r="Q139" i="10"/>
  <c r="P197" i="10"/>
  <c r="Q42" i="10"/>
  <c r="Q19" i="10"/>
  <c r="X63" i="10"/>
  <c r="W29" i="10"/>
  <c r="R27" i="10"/>
  <c r="O102" i="10"/>
  <c r="O78" i="10"/>
  <c r="U32" i="10"/>
  <c r="O48" i="10"/>
  <c r="Q146" i="10"/>
  <c r="W56" i="10"/>
  <c r="U150" i="10"/>
  <c r="P40" i="10"/>
  <c r="T27" i="10"/>
  <c r="U40" i="10"/>
  <c r="U199" i="10"/>
  <c r="V29" i="10"/>
  <c r="Q149" i="10"/>
  <c r="U184" i="10"/>
  <c r="P180" i="10"/>
  <c r="Q37" i="10"/>
  <c r="T73" i="10"/>
  <c r="W168" i="10"/>
  <c r="P22" i="10"/>
  <c r="U72" i="10"/>
  <c r="R186" i="10"/>
  <c r="W64" i="10"/>
  <c r="X16" i="10"/>
  <c r="U106" i="10"/>
  <c r="W146" i="10"/>
  <c r="U14" i="10"/>
  <c r="U77" i="10"/>
  <c r="U149" i="10"/>
  <c r="X20" i="10"/>
  <c r="T46" i="10"/>
  <c r="O43" i="10"/>
  <c r="W199" i="10"/>
  <c r="W50" i="10"/>
  <c r="X51" i="10"/>
  <c r="Q188" i="10"/>
  <c r="V144" i="10"/>
  <c r="Q43" i="10"/>
  <c r="P122" i="10"/>
  <c r="O68" i="10"/>
  <c r="Q107" i="10"/>
  <c r="R168" i="10"/>
  <c r="X137" i="10"/>
  <c r="T165" i="10"/>
  <c r="V17" i="10"/>
  <c r="X167" i="10"/>
  <c r="V85" i="10"/>
  <c r="O140" i="10"/>
  <c r="T12" i="10"/>
  <c r="P97" i="10"/>
  <c r="T104" i="10"/>
  <c r="X180" i="10"/>
  <c r="U187" i="10"/>
  <c r="T124" i="10"/>
  <c r="U189" i="10"/>
  <c r="T81" i="10"/>
  <c r="P110" i="10"/>
  <c r="X15" i="10"/>
  <c r="Q181" i="10"/>
  <c r="V117" i="10"/>
  <c r="T191" i="10"/>
  <c r="X126" i="10"/>
  <c r="X84" i="10"/>
  <c r="X34" i="10"/>
  <c r="U110" i="10"/>
  <c r="V57" i="10"/>
  <c r="W137" i="10"/>
  <c r="T167" i="10"/>
  <c r="R121" i="10"/>
  <c r="O72" i="10"/>
  <c r="R101" i="10"/>
  <c r="U130" i="10"/>
  <c r="W119" i="10"/>
  <c r="T62" i="10"/>
  <c r="T69" i="10"/>
  <c r="T56" i="10"/>
  <c r="T18" i="10"/>
  <c r="X124" i="10"/>
  <c r="R87" i="10"/>
  <c r="W159" i="10"/>
  <c r="X52" i="10"/>
  <c r="W98" i="10"/>
  <c r="V158" i="10"/>
  <c r="U90" i="10"/>
  <c r="X159" i="10"/>
  <c r="Q187" i="10"/>
  <c r="W144" i="10"/>
  <c r="T84" i="10"/>
  <c r="V93" i="10"/>
  <c r="V27" i="10"/>
  <c r="X134" i="10"/>
  <c r="Q192" i="10"/>
  <c r="Q154" i="10"/>
  <c r="U124" i="10"/>
  <c r="O135" i="10"/>
  <c r="W80" i="10"/>
  <c r="U125" i="10"/>
  <c r="X12" i="10"/>
  <c r="R148" i="10"/>
  <c r="U156" i="10"/>
  <c r="O65" i="10"/>
  <c r="O33" i="10"/>
  <c r="T150" i="10"/>
  <c r="R174" i="10"/>
  <c r="T154" i="10"/>
  <c r="V65" i="10"/>
  <c r="Q200" i="10"/>
  <c r="W125" i="10"/>
  <c r="V176" i="10"/>
  <c r="R145" i="10"/>
  <c r="U147" i="10"/>
  <c r="T76" i="10"/>
  <c r="Q41" i="10"/>
  <c r="W173" i="10"/>
  <c r="R113" i="10"/>
  <c r="U13" i="10"/>
  <c r="R152" i="10"/>
  <c r="P134" i="10"/>
  <c r="X33" i="10"/>
  <c r="T54" i="10"/>
  <c r="W75" i="10"/>
  <c r="R133" i="10"/>
  <c r="V196" i="10"/>
  <c r="P132" i="10"/>
  <c r="T111" i="10"/>
  <c r="V113" i="10"/>
  <c r="V63" i="10"/>
  <c r="V131" i="10"/>
  <c r="Q112" i="10"/>
  <c r="R56" i="10"/>
  <c r="X202" i="10"/>
  <c r="O199" i="10"/>
  <c r="O161" i="10"/>
  <c r="U92" i="10"/>
  <c r="R106" i="10"/>
  <c r="Q51" i="10"/>
  <c r="U122" i="10"/>
  <c r="T67" i="10"/>
  <c r="Q23" i="10"/>
  <c r="X182" i="10"/>
  <c r="O32" i="10"/>
  <c r="U94" i="10"/>
  <c r="V177" i="10"/>
  <c r="O196" i="10"/>
  <c r="R164" i="10"/>
  <c r="R190" i="10"/>
  <c r="R198" i="10"/>
  <c r="T129" i="10"/>
  <c r="U49" i="10"/>
  <c r="W31" i="10"/>
  <c r="Q104" i="10"/>
  <c r="T152" i="10"/>
  <c r="W35" i="10"/>
  <c r="Q29" i="10"/>
  <c r="O170" i="10"/>
  <c r="T37" i="10"/>
  <c r="O193" i="10"/>
  <c r="Q92" i="10"/>
  <c r="P190" i="10"/>
  <c r="P141" i="10"/>
  <c r="O101" i="10"/>
  <c r="V179" i="10"/>
  <c r="R26" i="10"/>
  <c r="T146" i="10"/>
  <c r="V149" i="10"/>
  <c r="U58" i="10"/>
  <c r="W135" i="10"/>
  <c r="R135" i="10"/>
  <c r="V123" i="10"/>
  <c r="P118" i="10"/>
  <c r="W26" i="10"/>
  <c r="R159" i="10"/>
  <c r="W63" i="10"/>
  <c r="X48" i="10"/>
  <c r="U64" i="10"/>
  <c r="P136" i="10"/>
  <c r="P28" i="10"/>
  <c r="X89" i="10"/>
  <c r="R31" i="10"/>
  <c r="U190" i="10"/>
  <c r="T66" i="10"/>
  <c r="U89" i="10"/>
  <c r="X164" i="10"/>
  <c r="O57" i="10"/>
  <c r="O104" i="10"/>
  <c r="T126" i="10"/>
  <c r="T200" i="10"/>
  <c r="R47" i="10"/>
  <c r="V61" i="10"/>
  <c r="Q56" i="10"/>
  <c r="W123" i="10"/>
  <c r="W140" i="10"/>
  <c r="R108" i="10"/>
  <c r="X179" i="10"/>
  <c r="O106" i="10"/>
  <c r="U83" i="10"/>
  <c r="T151" i="10"/>
  <c r="R180" i="10"/>
  <c r="W48" i="10"/>
  <c r="Q143" i="10"/>
  <c r="R59" i="10"/>
  <c r="Q113" i="10"/>
  <c r="Q82" i="10"/>
  <c r="Q179" i="10"/>
  <c r="O23" i="10"/>
  <c r="U119" i="10"/>
  <c r="W131" i="10"/>
  <c r="V150" i="10"/>
  <c r="U69" i="10"/>
  <c r="R40" i="10"/>
  <c r="P153" i="10"/>
  <c r="O82" i="10"/>
  <c r="R193" i="10"/>
  <c r="U131" i="10"/>
  <c r="W34" i="10"/>
  <c r="T143" i="10"/>
  <c r="P68" i="10"/>
  <c r="V50" i="10"/>
  <c r="U22" i="10"/>
  <c r="P133" i="10"/>
  <c r="V171" i="10"/>
  <c r="V18" i="10"/>
  <c r="O173" i="10"/>
  <c r="X103" i="10"/>
  <c r="V31" i="10"/>
  <c r="W147" i="10"/>
  <c r="R124" i="10"/>
  <c r="R12" i="10"/>
  <c r="T97" i="10"/>
  <c r="R140" i="10"/>
  <c r="V189" i="10"/>
  <c r="X71" i="10"/>
  <c r="V188" i="10"/>
  <c r="T80" i="10"/>
  <c r="U180" i="10"/>
  <c r="X87" i="10"/>
  <c r="P127" i="10"/>
  <c r="W149" i="10"/>
  <c r="U142" i="10"/>
  <c r="O31" i="10"/>
  <c r="P69" i="10"/>
  <c r="X120" i="10"/>
  <c r="P36" i="10"/>
  <c r="U15" i="10"/>
  <c r="R157" i="10"/>
  <c r="X104" i="10"/>
  <c r="Q147" i="10"/>
  <c r="V39" i="10"/>
  <c r="R71" i="10"/>
  <c r="P53" i="10"/>
  <c r="U140" i="10"/>
  <c r="R151" i="10"/>
  <c r="P169" i="10"/>
  <c r="P14" i="10"/>
  <c r="R160" i="10"/>
  <c r="O163" i="10"/>
  <c r="W189" i="10"/>
  <c r="P44" i="10"/>
  <c r="P52" i="10"/>
  <c r="T197" i="10"/>
  <c r="X175" i="10"/>
  <c r="R80" i="10"/>
  <c r="P129" i="10"/>
  <c r="W100" i="10"/>
  <c r="U35" i="10"/>
  <c r="P145" i="10"/>
  <c r="P138" i="10"/>
  <c r="V163" i="10"/>
  <c r="W166" i="10"/>
  <c r="R166" i="10"/>
  <c r="O93" i="10"/>
  <c r="Q21" i="10"/>
  <c r="R66" i="10"/>
  <c r="Q105" i="10"/>
  <c r="X189" i="10"/>
  <c r="Q130" i="10"/>
  <c r="P188" i="10"/>
  <c r="Q81" i="10"/>
  <c r="T168" i="10"/>
  <c r="O143" i="10"/>
  <c r="T138" i="10"/>
  <c r="O54" i="10"/>
  <c r="V56" i="10"/>
  <c r="T26" i="10"/>
  <c r="R32" i="10"/>
  <c r="R136" i="10"/>
  <c r="T53" i="10"/>
  <c r="P75" i="10"/>
  <c r="O132" i="10"/>
  <c r="X187" i="10"/>
  <c r="P112" i="10"/>
  <c r="P108" i="10"/>
  <c r="O84" i="10"/>
  <c r="R22" i="10"/>
  <c r="R33" i="10"/>
  <c r="U21" i="10"/>
  <c r="X44" i="10"/>
  <c r="O152" i="10"/>
  <c r="V16" i="10"/>
  <c r="R41" i="10"/>
  <c r="P171" i="10"/>
  <c r="U139" i="10"/>
  <c r="O89" i="10"/>
  <c r="X200" i="10"/>
  <c r="P139" i="10"/>
  <c r="P130" i="10"/>
  <c r="R142" i="10"/>
  <c r="W62" i="10"/>
  <c r="W161" i="10"/>
  <c r="U98" i="10"/>
  <c r="W82" i="10"/>
  <c r="X64" i="10"/>
  <c r="W20" i="10"/>
  <c r="V38" i="10"/>
  <c r="P66" i="10"/>
  <c r="O182" i="10"/>
  <c r="X163" i="10"/>
  <c r="P202" i="10"/>
  <c r="U201" i="10"/>
  <c r="U107" i="10"/>
  <c r="O77" i="10"/>
  <c r="R62" i="10"/>
  <c r="U148" i="10"/>
  <c r="T85" i="10"/>
  <c r="T177" i="10"/>
  <c r="W91" i="10"/>
  <c r="X55" i="10"/>
  <c r="V140" i="10"/>
  <c r="R201" i="10"/>
  <c r="V12" i="10"/>
  <c r="P199" i="10"/>
  <c r="V200" i="10"/>
  <c r="X11" i="10"/>
  <c r="V62" i="10"/>
  <c r="R77" i="10"/>
  <c r="W6" i="10"/>
  <c r="U11" i="10"/>
  <c r="R5" i="10"/>
  <c r="R4" i="10"/>
  <c r="U97" i="10"/>
  <c r="T68" i="10"/>
  <c r="T175" i="10"/>
  <c r="O160" i="10"/>
  <c r="V13" i="10"/>
  <c r="V70" i="10"/>
  <c r="T193" i="10"/>
  <c r="O100" i="10"/>
  <c r="O187" i="10"/>
  <c r="O179" i="10"/>
  <c r="O145" i="10"/>
  <c r="T30" i="10"/>
  <c r="P121" i="10"/>
  <c r="W162" i="10"/>
  <c r="X129" i="10"/>
  <c r="X72" i="10"/>
  <c r="X107" i="10"/>
  <c r="T169" i="10"/>
  <c r="V64" i="10"/>
  <c r="V137" i="10"/>
  <c r="V165" i="10"/>
  <c r="O177" i="10"/>
  <c r="V164" i="10"/>
  <c r="X153" i="10"/>
  <c r="X152" i="10"/>
  <c r="V184" i="10"/>
  <c r="X27" i="10"/>
  <c r="X143" i="10"/>
  <c r="Q66" i="10"/>
  <c r="W33" i="10"/>
  <c r="P151" i="10"/>
  <c r="V112" i="10"/>
  <c r="W143" i="10"/>
  <c r="P62" i="10"/>
  <c r="V134" i="10"/>
  <c r="T185" i="10"/>
  <c r="T87" i="10"/>
  <c r="T148" i="10"/>
  <c r="Q142" i="10"/>
  <c r="U186" i="10"/>
  <c r="P46" i="10"/>
  <c r="X133" i="10"/>
  <c r="U79" i="10"/>
  <c r="X148" i="10"/>
  <c r="W94" i="10"/>
  <c r="T140" i="10"/>
  <c r="V47" i="10"/>
  <c r="R116" i="10"/>
  <c r="O62" i="10"/>
  <c r="W171" i="10"/>
  <c r="U103" i="10"/>
  <c r="Q198" i="10"/>
  <c r="W81" i="10"/>
  <c r="P87" i="10"/>
  <c r="P16" i="10"/>
  <c r="U141" i="10"/>
  <c r="Q178" i="10"/>
  <c r="O30" i="10"/>
  <c r="V72" i="10"/>
  <c r="V166" i="10"/>
  <c r="Q118" i="10"/>
  <c r="T107" i="10"/>
  <c r="O146" i="10"/>
  <c r="U31" i="10"/>
  <c r="V161" i="10"/>
  <c r="O202" i="10"/>
  <c r="P58" i="10"/>
  <c r="V174" i="10"/>
  <c r="T74" i="10"/>
  <c r="W104" i="10"/>
  <c r="P120" i="10"/>
  <c r="Q69" i="10"/>
  <c r="W13" i="10"/>
  <c r="Q53" i="10"/>
  <c r="W132" i="10"/>
  <c r="Q165" i="10"/>
  <c r="V151" i="10"/>
  <c r="X131" i="10"/>
  <c r="O176" i="10"/>
  <c r="X18" i="10"/>
  <c r="V116" i="10"/>
  <c r="P35" i="10"/>
  <c r="P195" i="10"/>
  <c r="X99" i="10"/>
  <c r="O201" i="10"/>
  <c r="P81" i="10"/>
  <c r="W70" i="10"/>
  <c r="W49" i="10"/>
  <c r="X47" i="10"/>
  <c r="U44" i="10"/>
  <c r="R167" i="10"/>
  <c r="Q84" i="10"/>
  <c r="W145" i="10"/>
  <c r="X67" i="10"/>
  <c r="V170" i="10"/>
  <c r="W60" i="10"/>
  <c r="O174" i="10"/>
  <c r="X121" i="10"/>
  <c r="Q166" i="10"/>
  <c r="T117" i="10"/>
  <c r="X39" i="10"/>
  <c r="P85" i="10"/>
  <c r="T90" i="10"/>
  <c r="P178" i="10"/>
  <c r="U48" i="10"/>
  <c r="U17" i="10"/>
  <c r="T57" i="10"/>
  <c r="V36" i="10"/>
  <c r="O113" i="10"/>
  <c r="V125" i="10"/>
  <c r="U195" i="10"/>
  <c r="V32" i="10"/>
  <c r="V105" i="10"/>
  <c r="W24" i="10"/>
  <c r="P95" i="10"/>
  <c r="R85" i="10"/>
  <c r="R24" i="10"/>
  <c r="P176" i="10"/>
  <c r="T199" i="10"/>
  <c r="W23" i="10"/>
  <c r="U164" i="10"/>
  <c r="U170" i="10"/>
  <c r="W178" i="10"/>
  <c r="T139" i="10"/>
  <c r="P146" i="10"/>
  <c r="X184" i="10"/>
  <c r="X59" i="10"/>
  <c r="R60" i="10"/>
  <c r="O94" i="10"/>
  <c r="W66" i="10"/>
  <c r="R64" i="10"/>
  <c r="U145" i="10"/>
  <c r="R83" i="10"/>
  <c r="U26" i="10"/>
  <c r="O153" i="10"/>
  <c r="V20" i="10"/>
  <c r="R37" i="10"/>
  <c r="T131" i="10"/>
  <c r="V25" i="10"/>
  <c r="R147" i="10"/>
  <c r="T36" i="10"/>
  <c r="X188" i="10"/>
  <c r="T127" i="10"/>
  <c r="V98" i="10"/>
  <c r="T102" i="10"/>
  <c r="U197" i="10"/>
  <c r="V78" i="10"/>
  <c r="O133" i="10"/>
  <c r="R18" i="10"/>
  <c r="Q83" i="10"/>
  <c r="T15" i="10"/>
  <c r="U177" i="10"/>
  <c r="U172" i="10"/>
  <c r="W105" i="10"/>
  <c r="P187" i="10"/>
  <c r="P126" i="10"/>
  <c r="R82" i="10"/>
  <c r="X94" i="10"/>
  <c r="U133" i="10"/>
  <c r="Q49" i="10"/>
  <c r="W170" i="10"/>
  <c r="X68" i="10"/>
  <c r="R53" i="10"/>
  <c r="X170" i="10"/>
  <c r="U135" i="10"/>
  <c r="V157" i="10"/>
  <c r="V155" i="10"/>
  <c r="V66" i="10"/>
  <c r="P63" i="10"/>
  <c r="W16" i="10"/>
  <c r="O180" i="10"/>
  <c r="U168" i="10"/>
  <c r="R199" i="10"/>
  <c r="O130" i="10"/>
  <c r="V148" i="10"/>
  <c r="P143" i="10"/>
  <c r="T19" i="10"/>
  <c r="O148" i="10"/>
  <c r="T48" i="10"/>
  <c r="U52" i="10"/>
  <c r="X141" i="10"/>
  <c r="Q128" i="10"/>
  <c r="X186" i="10"/>
  <c r="Q157" i="10"/>
  <c r="U24" i="10"/>
  <c r="X115" i="10"/>
  <c r="X138" i="10"/>
  <c r="P79" i="10"/>
  <c r="X145" i="10"/>
  <c r="W116" i="10"/>
  <c r="V110" i="10"/>
  <c r="W148" i="10"/>
  <c r="O119" i="10"/>
  <c r="R105" i="10"/>
  <c r="R123" i="10"/>
  <c r="W19" i="10"/>
  <c r="V122" i="10"/>
  <c r="T14" i="10"/>
  <c r="R45" i="10"/>
  <c r="U162" i="10"/>
  <c r="R175" i="10"/>
  <c r="Q156" i="10"/>
  <c r="W142" i="10"/>
  <c r="R197" i="10"/>
  <c r="U196" i="10"/>
  <c r="P72" i="10"/>
  <c r="X196" i="10"/>
  <c r="V201" i="10"/>
  <c r="W18" i="10"/>
  <c r="X155" i="10"/>
  <c r="R75" i="10"/>
  <c r="P181" i="10"/>
  <c r="W169" i="10"/>
  <c r="W193" i="10"/>
  <c r="U57" i="10"/>
  <c r="Q24" i="10"/>
  <c r="V115" i="10"/>
  <c r="O116" i="10"/>
  <c r="P49" i="10"/>
  <c r="U93" i="10"/>
  <c r="O190" i="10"/>
  <c r="O25" i="10"/>
  <c r="V94" i="10"/>
  <c r="V146" i="10"/>
  <c r="U91" i="10"/>
  <c r="V21" i="10"/>
  <c r="V59" i="10"/>
  <c r="Q117" i="10"/>
  <c r="U123" i="10"/>
  <c r="Q48" i="10"/>
  <c r="R38" i="10"/>
  <c r="X91" i="10"/>
  <c r="X57" i="10"/>
  <c r="O192" i="10"/>
  <c r="W175" i="10"/>
  <c r="V181" i="10"/>
  <c r="P113" i="10"/>
  <c r="P32" i="10"/>
  <c r="P71" i="10"/>
  <c r="T157" i="10"/>
  <c r="U120" i="10"/>
  <c r="U193" i="10"/>
  <c r="W155" i="10"/>
  <c r="P43" i="10"/>
  <c r="Q161" i="10"/>
  <c r="W154" i="10"/>
  <c r="X13" i="10"/>
  <c r="R25" i="10"/>
  <c r="Q111" i="10"/>
  <c r="U41" i="10"/>
  <c r="U86" i="10"/>
  <c r="O13" i="10"/>
  <c r="U53" i="10"/>
  <c r="Q152" i="10"/>
  <c r="W167" i="10"/>
  <c r="V106" i="10"/>
  <c r="Q199" i="10"/>
  <c r="T63" i="10"/>
  <c r="T41" i="10"/>
  <c r="V79" i="10"/>
  <c r="R139" i="10"/>
  <c r="X190" i="10"/>
  <c r="T190" i="10"/>
  <c r="W65" i="10"/>
  <c r="Q183" i="10"/>
  <c r="X42" i="10"/>
  <c r="X45" i="10"/>
  <c r="R100" i="10"/>
  <c r="V190" i="10"/>
  <c r="U76" i="10"/>
  <c r="W14" i="10"/>
  <c r="W44" i="10"/>
  <c r="R200" i="10"/>
  <c r="U78" i="10"/>
  <c r="T116" i="10"/>
  <c r="T95" i="10"/>
  <c r="V114" i="10"/>
  <c r="W115" i="10"/>
  <c r="Q190" i="10"/>
  <c r="X136" i="10"/>
  <c r="O60" i="10"/>
  <c r="W68" i="10"/>
  <c r="T160" i="10"/>
  <c r="W47" i="10"/>
  <c r="T28" i="10"/>
  <c r="V82" i="10"/>
  <c r="O53" i="10"/>
  <c r="X132" i="10"/>
  <c r="W92" i="10"/>
  <c r="P57" i="10"/>
  <c r="X125" i="10"/>
  <c r="W117" i="10"/>
  <c r="R162" i="10"/>
  <c r="O125" i="10"/>
  <c r="X58" i="10"/>
  <c r="X117" i="10"/>
  <c r="U50" i="10"/>
  <c r="W183" i="10"/>
  <c r="W53" i="10"/>
  <c r="P23" i="10"/>
  <c r="T172" i="10"/>
  <c r="Q35" i="10"/>
  <c r="O144" i="10"/>
  <c r="R118" i="10"/>
  <c r="U191" i="10"/>
  <c r="T134" i="10"/>
  <c r="R68" i="10"/>
  <c r="T35" i="10"/>
  <c r="X149" i="10"/>
  <c r="U62" i="10"/>
  <c r="V101" i="10"/>
  <c r="Q95" i="10"/>
  <c r="R163" i="10"/>
  <c r="X40" i="10"/>
  <c r="Q27" i="10"/>
  <c r="O85" i="10"/>
  <c r="T196" i="10"/>
  <c r="V107" i="10"/>
  <c r="X135" i="10"/>
  <c r="R46" i="10"/>
  <c r="P174" i="10"/>
  <c r="U102" i="10"/>
  <c r="W164" i="10"/>
  <c r="X127" i="10"/>
  <c r="P182" i="10"/>
  <c r="X92" i="10"/>
  <c r="P105" i="10"/>
  <c r="O19" i="10"/>
  <c r="P13" i="10"/>
  <c r="P65" i="10"/>
  <c r="X128" i="10"/>
  <c r="O123" i="10"/>
  <c r="Q175" i="10"/>
  <c r="T108" i="10"/>
  <c r="P175" i="10"/>
  <c r="U169" i="10"/>
  <c r="Q85" i="10"/>
  <c r="V187" i="10"/>
  <c r="R109" i="10"/>
  <c r="R122" i="10"/>
  <c r="Q174" i="10"/>
  <c r="X83" i="10"/>
  <c r="V96" i="10"/>
  <c r="R153" i="10"/>
  <c r="P150" i="10"/>
  <c r="R173" i="10"/>
  <c r="V89" i="10"/>
  <c r="Q68" i="10"/>
  <c r="O92" i="10"/>
  <c r="P86" i="10"/>
  <c r="U178" i="10"/>
  <c r="X197" i="10"/>
  <c r="X123" i="10"/>
  <c r="W191" i="10"/>
  <c r="O35" i="10"/>
  <c r="T39" i="10"/>
  <c r="T34" i="10"/>
  <c r="U74" i="10"/>
  <c r="O159" i="10"/>
  <c r="T164" i="10"/>
  <c r="Q61" i="10"/>
  <c r="V75" i="10"/>
  <c r="R65" i="10"/>
  <c r="Q167" i="10"/>
  <c r="X26" i="10"/>
  <c r="Q16" i="10"/>
  <c r="Q14" i="10"/>
  <c r="T94" i="10"/>
  <c r="Q93" i="10"/>
  <c r="O165" i="10"/>
  <c r="P64" i="10"/>
  <c r="R158" i="10"/>
  <c r="P74" i="10"/>
  <c r="W177" i="10"/>
  <c r="U71" i="10"/>
  <c r="O61" i="10"/>
  <c r="Q86" i="10"/>
  <c r="X106" i="10"/>
  <c r="O40" i="10"/>
  <c r="R188" i="10"/>
  <c r="R115" i="10"/>
  <c r="R92" i="10"/>
  <c r="P102" i="10"/>
  <c r="T100" i="10"/>
  <c r="P78" i="10"/>
  <c r="Q119" i="10"/>
  <c r="W72" i="10"/>
  <c r="O138" i="10"/>
  <c r="Q164" i="10"/>
  <c r="Q115" i="10"/>
  <c r="R171" i="10"/>
  <c r="R102" i="10"/>
  <c r="U99" i="10"/>
  <c r="R90" i="10"/>
  <c r="O22" i="10"/>
  <c r="R155" i="10"/>
  <c r="U87" i="10"/>
  <c r="V4" i="10"/>
  <c r="U47" i="10"/>
  <c r="X195" i="10"/>
  <c r="P128" i="10"/>
  <c r="T77" i="10"/>
  <c r="W158" i="10"/>
  <c r="U65" i="10"/>
  <c r="Q163" i="10"/>
  <c r="O183" i="10"/>
  <c r="V172" i="10"/>
  <c r="V119" i="10"/>
  <c r="Q33" i="10"/>
  <c r="U155" i="10"/>
  <c r="W71" i="10"/>
  <c r="P103" i="10"/>
  <c r="U27" i="10"/>
  <c r="T70" i="10"/>
  <c r="Q108" i="10"/>
  <c r="R149" i="10"/>
  <c r="P172" i="10"/>
  <c r="W202" i="10"/>
  <c r="W37" i="10"/>
  <c r="T44" i="10"/>
  <c r="W130" i="10"/>
  <c r="O27" i="10"/>
  <c r="V102" i="10"/>
  <c r="W28" i="10"/>
  <c r="X191" i="10"/>
  <c r="X150" i="10"/>
  <c r="T78" i="10"/>
  <c r="O87" i="10"/>
  <c r="O200" i="10"/>
  <c r="X154" i="10"/>
  <c r="O69" i="10"/>
  <c r="Q106" i="10"/>
  <c r="X66" i="10"/>
  <c r="U183" i="10"/>
  <c r="P116" i="10"/>
  <c r="V142" i="10"/>
  <c r="V90" i="10"/>
  <c r="T79" i="10"/>
  <c r="U55" i="10"/>
  <c r="Q194" i="10"/>
  <c r="O97" i="10"/>
  <c r="O99" i="10"/>
  <c r="Q158" i="10"/>
  <c r="X90" i="10"/>
  <c r="V51" i="10"/>
  <c r="W157" i="10"/>
  <c r="V104" i="10"/>
  <c r="R156" i="10"/>
  <c r="O149" i="10"/>
  <c r="V192" i="10"/>
  <c r="O75" i="10"/>
  <c r="R7" i="10"/>
  <c r="T162" i="10"/>
  <c r="O185" i="10"/>
  <c r="Q6" i="10"/>
  <c r="U200" i="10"/>
  <c r="O63" i="10"/>
  <c r="W97" i="10"/>
  <c r="W21" i="10"/>
  <c r="P117" i="10"/>
  <c r="T50" i="10"/>
  <c r="V138" i="10"/>
  <c r="V111" i="10"/>
  <c r="O88" i="10"/>
  <c r="W41" i="10"/>
  <c r="X98" i="10"/>
  <c r="T121" i="10"/>
  <c r="U167" i="10"/>
  <c r="R138" i="10"/>
  <c r="P152" i="10"/>
  <c r="V147" i="10"/>
  <c r="R58" i="10"/>
  <c r="V43" i="10"/>
  <c r="O142" i="10"/>
  <c r="X28" i="10"/>
  <c r="T133" i="10"/>
  <c r="W185" i="10"/>
  <c r="X169" i="10"/>
  <c r="Q65" i="10"/>
  <c r="R72" i="10"/>
  <c r="W118" i="10"/>
  <c r="V24" i="10"/>
  <c r="U33" i="10"/>
  <c r="P160" i="10"/>
  <c r="R99" i="10"/>
  <c r="W58" i="10"/>
  <c r="W22" i="10"/>
  <c r="R49" i="10"/>
  <c r="P101" i="10"/>
  <c r="Q186" i="10"/>
  <c r="O162" i="10"/>
  <c r="U174" i="10"/>
  <c r="X142" i="10"/>
  <c r="U143" i="10"/>
  <c r="Q144" i="10"/>
  <c r="U132" i="10"/>
  <c r="O47" i="10"/>
  <c r="V130" i="10"/>
  <c r="X21" i="10"/>
  <c r="T32" i="10"/>
  <c r="Q136" i="10"/>
  <c r="O5" i="10"/>
  <c r="P4" i="10"/>
  <c r="Q4" i="10"/>
  <c r="U4" i="10"/>
  <c r="P124" i="10"/>
  <c r="Q74" i="10"/>
  <c r="O56" i="10"/>
  <c r="Q28" i="10"/>
  <c r="Q78" i="10"/>
  <c r="R89" i="10"/>
  <c r="W156" i="10"/>
  <c r="P156" i="10"/>
  <c r="X70" i="10"/>
  <c r="X144" i="10"/>
  <c r="P26" i="10"/>
  <c r="P54" i="10"/>
  <c r="P123" i="10"/>
  <c r="X37" i="10"/>
  <c r="V143" i="10"/>
  <c r="R130" i="10"/>
  <c r="V73" i="10"/>
  <c r="U56" i="10"/>
  <c r="Q9" i="10"/>
  <c r="Q70" i="10"/>
  <c r="Q138" i="10"/>
  <c r="P179" i="10"/>
  <c r="R131" i="10"/>
  <c r="P5" i="10"/>
  <c r="V5" i="10"/>
  <c r="P3" i="10"/>
  <c r="O3" i="10"/>
  <c r="W4" i="10"/>
  <c r="T46" i="1"/>
  <c r="N125" i="6" s="1"/>
  <c r="V125" i="6" s="1"/>
  <c r="V124" i="6" s="1"/>
  <c r="Y124" i="6" s="1"/>
  <c r="Y123" i="6" s="1"/>
  <c r="AL101" i="6"/>
  <c r="AL14" i="6"/>
  <c r="N101" i="1"/>
  <c r="M101" i="1"/>
  <c r="A101" i="1" s="1"/>
  <c r="J8" i="7"/>
  <c r="AA97" i="1"/>
  <c r="AC97" i="1" s="1"/>
  <c r="M4" i="5"/>
  <c r="J5" i="7"/>
  <c r="H18" i="1" l="1"/>
  <c r="I124" i="6"/>
  <c r="I123" i="6" s="1"/>
  <c r="V123" i="6"/>
  <c r="D13" i="4"/>
  <c r="N4" i="5"/>
  <c r="AL105" i="6" l="1"/>
  <c r="AL18" i="6"/>
  <c r="P96" i="1"/>
  <c r="T96" i="1" s="1"/>
  <c r="Z273" i="7" s="1"/>
  <c r="N274" i="7" s="1"/>
  <c r="V274" i="7" s="1"/>
  <c r="V273" i="7" s="1"/>
  <c r="J124" i="6"/>
  <c r="J123" i="6" s="1"/>
  <c r="G10" i="5" s="1"/>
  <c r="K18" i="1"/>
  <c r="C9" i="9"/>
  <c r="F10" i="5"/>
  <c r="N33" i="1"/>
  <c r="M33" i="1"/>
  <c r="A33" i="1" s="1"/>
  <c r="N27" i="1" l="1"/>
  <c r="M27" i="1"/>
  <c r="A27" i="1" s="1"/>
  <c r="V272" i="7"/>
  <c r="Y272" i="7" s="1"/>
  <c r="Y273" i="7"/>
  <c r="I273" i="7"/>
  <c r="I272" i="7" s="1"/>
  <c r="N18" i="1"/>
  <c r="M18" i="1"/>
  <c r="A18" i="1" s="1"/>
  <c r="J273" i="7" l="1"/>
  <c r="J272" i="7" s="1"/>
  <c r="M12" i="5"/>
  <c r="N12" i="5" l="1"/>
  <c r="AL106" i="6"/>
  <c r="AL19" i="6"/>
  <c r="AL107" i="6"/>
  <c r="AL20" i="6"/>
  <c r="N200" i="7" l="1"/>
  <c r="V200" i="7" s="1"/>
  <c r="V199" i="7" l="1"/>
  <c r="Y199" i="7" s="1"/>
  <c r="P147" i="1" l="1"/>
  <c r="T147" i="1" s="1"/>
  <c r="AB124" i="7" s="1"/>
  <c r="N140" i="7" s="1"/>
  <c r="X140" i="7" s="1"/>
  <c r="AA204" i="7"/>
  <c r="K204" i="7"/>
  <c r="H65" i="1"/>
  <c r="K65" i="1" l="1"/>
  <c r="J136" i="1"/>
  <c r="K136" i="1" s="1"/>
  <c r="I106" i="1"/>
  <c r="K106" i="1" s="1"/>
  <c r="I107" i="1"/>
  <c r="K107" i="1" s="1"/>
  <c r="H78" i="1"/>
  <c r="K78" i="1" s="1"/>
  <c r="H75" i="1"/>
  <c r="K75" i="1" s="1"/>
  <c r="J133" i="1"/>
  <c r="K133" i="1" s="1"/>
  <c r="H74" i="1"/>
  <c r="K74" i="1" s="1"/>
  <c r="H79" i="1"/>
  <c r="C9" i="13" s="1"/>
  <c r="J137" i="1"/>
  <c r="K137" i="1" s="1"/>
  <c r="J135" i="1"/>
  <c r="K135" i="1" s="1"/>
  <c r="I109" i="1"/>
  <c r="K109" i="1" s="1"/>
  <c r="H67" i="1"/>
  <c r="K67" i="1" s="1"/>
  <c r="H71" i="1"/>
  <c r="K71" i="1" s="1"/>
  <c r="I110" i="1"/>
  <c r="K110" i="1" s="1"/>
  <c r="H66" i="1"/>
  <c r="K66" i="1" s="1"/>
  <c r="I105" i="1"/>
  <c r="K105" i="1" s="1"/>
  <c r="I104" i="1"/>
  <c r="K104" i="1" s="1"/>
  <c r="H73" i="1"/>
  <c r="K73" i="1" s="1"/>
  <c r="J134" i="1"/>
  <c r="K134" i="1" s="1"/>
  <c r="I108" i="1"/>
  <c r="K108" i="1" s="1"/>
  <c r="I103" i="1"/>
  <c r="H80" i="1"/>
  <c r="C9" i="14" s="1"/>
  <c r="H204" i="7"/>
  <c r="X124" i="7"/>
  <c r="I140" i="7"/>
  <c r="J125" i="1"/>
  <c r="X103" i="7" l="1"/>
  <c r="Y124" i="7"/>
  <c r="N105" i="1"/>
  <c r="A105" i="1"/>
  <c r="M105" i="1"/>
  <c r="N106" i="1"/>
  <c r="A106" i="1"/>
  <c r="M106" i="1"/>
  <c r="H195" i="7"/>
  <c r="H194" i="7"/>
  <c r="J204" i="7"/>
  <c r="N108" i="1"/>
  <c r="A108" i="1"/>
  <c r="M108" i="1"/>
  <c r="M67" i="1"/>
  <c r="N67" i="1"/>
  <c r="A67" i="1"/>
  <c r="K79" i="1"/>
  <c r="N75" i="1"/>
  <c r="A75" i="1"/>
  <c r="M75" i="1"/>
  <c r="N136" i="1"/>
  <c r="A136" i="1"/>
  <c r="M136" i="1"/>
  <c r="I138" i="1"/>
  <c r="I139" i="1" s="1"/>
  <c r="K103" i="1"/>
  <c r="M71" i="1"/>
  <c r="N71" i="1"/>
  <c r="A71" i="1"/>
  <c r="N133" i="1"/>
  <c r="A133" i="1"/>
  <c r="M133" i="1"/>
  <c r="J138" i="1"/>
  <c r="J139" i="1" s="1"/>
  <c r="K125" i="1"/>
  <c r="N134" i="1"/>
  <c r="A134" i="1"/>
  <c r="M134" i="1"/>
  <c r="N73" i="1"/>
  <c r="A73" i="1"/>
  <c r="M73" i="1"/>
  <c r="M109" i="1"/>
  <c r="N109" i="1"/>
  <c r="A109" i="1"/>
  <c r="N74" i="1"/>
  <c r="A74" i="1"/>
  <c r="M74" i="1"/>
  <c r="N78" i="1"/>
  <c r="A78" i="1"/>
  <c r="M78" i="1"/>
  <c r="M137" i="1"/>
  <c r="N137" i="1"/>
  <c r="A137" i="1"/>
  <c r="K80" i="1"/>
  <c r="J140" i="7"/>
  <c r="J103" i="7" s="1"/>
  <c r="I103" i="7"/>
  <c r="N104" i="1"/>
  <c r="A104" i="1"/>
  <c r="M104" i="1"/>
  <c r="M135" i="1"/>
  <c r="N135" i="1"/>
  <c r="A135" i="1"/>
  <c r="N107" i="1"/>
  <c r="A107" i="1"/>
  <c r="M107" i="1"/>
  <c r="M6" i="5" l="1"/>
  <c r="I4" i="7"/>
  <c r="J4" i="7"/>
  <c r="N6" i="5"/>
  <c r="A125" i="1"/>
  <c r="M125" i="1"/>
  <c r="N125" i="1"/>
  <c r="X4" i="7"/>
  <c r="Y103" i="7"/>
  <c r="H193" i="7"/>
  <c r="H307" i="7" s="1"/>
  <c r="L8" i="5"/>
  <c r="L17" i="5" s="1"/>
  <c r="AC100" i="1" s="1"/>
  <c r="Y4" i="7" l="1"/>
  <c r="X307" i="7"/>
  <c r="AE17" i="1" s="1"/>
  <c r="AE18" i="1" s="1"/>
  <c r="U7" i="1" l="1"/>
  <c r="D8" i="17" s="1"/>
  <c r="AF93" i="6" l="1"/>
  <c r="Y25" i="1"/>
  <c r="AF6" i="6"/>
  <c r="Y24" i="1" l="1"/>
  <c r="Z65" i="1" s="1"/>
  <c r="P34" i="1"/>
  <c r="T34" i="1" s="1"/>
  <c r="B13" i="17" s="1"/>
  <c r="P28" i="6"/>
  <c r="AL93" i="6"/>
  <c r="AA93" i="6"/>
  <c r="AL6" i="6"/>
  <c r="AA6" i="6"/>
  <c r="Z7" i="6" l="1"/>
  <c r="Z8" i="6"/>
  <c r="Z94" i="6"/>
  <c r="Z95" i="6"/>
  <c r="Z114" i="6"/>
  <c r="P245" i="7"/>
  <c r="C55" i="17"/>
  <c r="Y30" i="1"/>
  <c r="C4" i="17"/>
  <c r="Z93" i="6"/>
  <c r="Z103" i="6"/>
  <c r="Z102" i="6"/>
  <c r="Z101" i="6"/>
  <c r="Z6" i="6"/>
  <c r="Z16" i="6"/>
  <c r="Z14" i="6"/>
  <c r="Z15" i="6"/>
  <c r="O28" i="6"/>
  <c r="N28" i="6"/>
  <c r="V28" i="6" s="1"/>
  <c r="V27" i="6" s="1"/>
  <c r="V245" i="7" l="1"/>
  <c r="AI58" i="1" s="1"/>
  <c r="Y62" i="1" s="1"/>
  <c r="O245" i="7"/>
  <c r="B18" i="17"/>
  <c r="AF116" i="6"/>
  <c r="L11" i="6"/>
  <c r="P11" i="6" s="1"/>
  <c r="L6" i="6"/>
  <c r="O6" i="6" s="1"/>
  <c r="L9" i="6"/>
  <c r="M9" i="6" s="1"/>
  <c r="L8" i="6"/>
  <c r="R8" i="6" s="1"/>
  <c r="L12" i="6"/>
  <c r="P12" i="6" s="1"/>
  <c r="L13" i="6"/>
  <c r="T13" i="6" s="1"/>
  <c r="L7" i="6"/>
  <c r="N7" i="6" s="1"/>
  <c r="L10" i="6"/>
  <c r="P10" i="6" s="1"/>
  <c r="L15" i="6"/>
  <c r="P15" i="6" s="1"/>
  <c r="L14" i="6"/>
  <c r="P14" i="6" s="1"/>
  <c r="Y27" i="6"/>
  <c r="I27" i="6"/>
  <c r="J27" i="6" s="1"/>
  <c r="H4" i="1"/>
  <c r="O11" i="6"/>
  <c r="Y61" i="1" l="1"/>
  <c r="N242" i="7"/>
  <c r="V242" i="7" s="1"/>
  <c r="M11" i="6"/>
  <c r="N11" i="6"/>
  <c r="T11" i="6"/>
  <c r="N9" i="6"/>
  <c r="T9" i="6"/>
  <c r="R7" i="6"/>
  <c r="P9" i="6"/>
  <c r="Q8" i="6"/>
  <c r="AA116" i="6"/>
  <c r="AL116" i="6"/>
  <c r="R11" i="6"/>
  <c r="N8" i="6"/>
  <c r="Q9" i="6"/>
  <c r="O9" i="6"/>
  <c r="O7" i="6"/>
  <c r="R9" i="6"/>
  <c r="Q7" i="6"/>
  <c r="P7" i="6"/>
  <c r="V7" i="6" s="1"/>
  <c r="Q12" i="6"/>
  <c r="Q11" i="6"/>
  <c r="O14" i="6"/>
  <c r="M15" i="6"/>
  <c r="O12" i="6"/>
  <c r="R6" i="6"/>
  <c r="R15" i="6"/>
  <c r="N13" i="6"/>
  <c r="N6" i="6"/>
  <c r="M10" i="6"/>
  <c r="M14" i="6"/>
  <c r="T14" i="6"/>
  <c r="T6" i="6"/>
  <c r="M6" i="6"/>
  <c r="Q15" i="6"/>
  <c r="R13" i="6"/>
  <c r="Q13" i="6"/>
  <c r="N12" i="6"/>
  <c r="Q14" i="6"/>
  <c r="N14" i="6"/>
  <c r="Q6" i="6"/>
  <c r="P6" i="6"/>
  <c r="O15" i="6"/>
  <c r="T15" i="6"/>
  <c r="O13" i="6"/>
  <c r="M13" i="6"/>
  <c r="T12" i="6"/>
  <c r="M12" i="6"/>
  <c r="R14" i="6"/>
  <c r="N15" i="6"/>
  <c r="P13" i="6"/>
  <c r="R12" i="6"/>
  <c r="O10" i="6"/>
  <c r="N10" i="6"/>
  <c r="M7" i="6"/>
  <c r="T7" i="6"/>
  <c r="R10" i="6"/>
  <c r="O8" i="6"/>
  <c r="M8" i="6"/>
  <c r="T8" i="6"/>
  <c r="P8" i="6"/>
  <c r="Q10" i="6"/>
  <c r="T10" i="6"/>
  <c r="K4" i="1"/>
  <c r="P86" i="1"/>
  <c r="T86" i="1" s="1"/>
  <c r="Z196" i="7" s="1"/>
  <c r="Z118" i="6" l="1"/>
  <c r="Z117" i="6"/>
  <c r="L98" i="6" s="1"/>
  <c r="Z116" i="6"/>
  <c r="Z119" i="6"/>
  <c r="L102" i="6" s="1"/>
  <c r="AI55" i="1"/>
  <c r="V241" i="7"/>
  <c r="V11" i="6"/>
  <c r="V9" i="6"/>
  <c r="V8" i="6"/>
  <c r="L95" i="6"/>
  <c r="L94" i="6"/>
  <c r="L96" i="6"/>
  <c r="L97" i="6"/>
  <c r="L93" i="6"/>
  <c r="V10" i="6"/>
  <c r="V6" i="6"/>
  <c r="N197" i="7"/>
  <c r="AE73" i="1"/>
  <c r="AE74" i="1" s="1"/>
  <c r="V197" i="7"/>
  <c r="V196" i="7" s="1"/>
  <c r="L99" i="6" l="1"/>
  <c r="L101" i="6"/>
  <c r="N101" i="6" s="1"/>
  <c r="L100" i="6"/>
  <c r="Y241" i="7"/>
  <c r="I241" i="7"/>
  <c r="J241" i="7" s="1"/>
  <c r="H68" i="1"/>
  <c r="K68" i="1" s="1"/>
  <c r="R97" i="6"/>
  <c r="N97" i="6"/>
  <c r="T97" i="6"/>
  <c r="Q97" i="6"/>
  <c r="M97" i="6"/>
  <c r="P97" i="6"/>
  <c r="O97" i="6"/>
  <c r="T94" i="6"/>
  <c r="O94" i="6"/>
  <c r="Q94" i="6"/>
  <c r="P94" i="6"/>
  <c r="R94" i="6"/>
  <c r="N94" i="6"/>
  <c r="M94" i="6"/>
  <c r="R93" i="6"/>
  <c r="N93" i="6"/>
  <c r="P93" i="6"/>
  <c r="O93" i="6"/>
  <c r="Q93" i="6"/>
  <c r="M93" i="6"/>
  <c r="T93" i="6"/>
  <c r="T102" i="6"/>
  <c r="O102" i="6"/>
  <c r="M102" i="6"/>
  <c r="P102" i="6"/>
  <c r="R102" i="6"/>
  <c r="N102" i="6"/>
  <c r="Q102" i="6"/>
  <c r="T98" i="6"/>
  <c r="O98" i="6"/>
  <c r="M98" i="6"/>
  <c r="R98" i="6"/>
  <c r="N98" i="6"/>
  <c r="Q98" i="6"/>
  <c r="P98" i="6"/>
  <c r="R101" i="6"/>
  <c r="M101" i="6"/>
  <c r="Q96" i="6"/>
  <c r="M96" i="6"/>
  <c r="T96" i="6"/>
  <c r="R96" i="6"/>
  <c r="P96" i="6"/>
  <c r="O96" i="6"/>
  <c r="N96" i="6"/>
  <c r="P95" i="6"/>
  <c r="R95" i="6"/>
  <c r="Q95" i="6"/>
  <c r="T95" i="6"/>
  <c r="O95" i="6"/>
  <c r="N95" i="6"/>
  <c r="M95" i="6"/>
  <c r="Q100" i="6"/>
  <c r="M100" i="6"/>
  <c r="O100" i="6"/>
  <c r="N100" i="6"/>
  <c r="P100" i="6"/>
  <c r="T100" i="6"/>
  <c r="R100" i="6"/>
  <c r="P99" i="6"/>
  <c r="N99" i="6"/>
  <c r="M99" i="6"/>
  <c r="T99" i="6"/>
  <c r="O99" i="6"/>
  <c r="R99" i="6"/>
  <c r="Q99" i="6"/>
  <c r="V5" i="6"/>
  <c r="V4" i="6" s="1"/>
  <c r="AA101" i="1" s="1"/>
  <c r="Y196" i="7"/>
  <c r="Y195" i="7" s="1"/>
  <c r="I196" i="7"/>
  <c r="V195" i="7"/>
  <c r="Q101" i="6" l="1"/>
  <c r="T101" i="6"/>
  <c r="O101" i="6"/>
  <c r="P101" i="6"/>
  <c r="V101" i="6" s="1"/>
  <c r="H3" i="1"/>
  <c r="K3" i="1" s="1"/>
  <c r="V100" i="6"/>
  <c r="Y5" i="6"/>
  <c r="Y4" i="6" s="1"/>
  <c r="I5" i="6"/>
  <c r="J5" i="6" s="1"/>
  <c r="J4" i="6" s="1"/>
  <c r="G4" i="5" s="1"/>
  <c r="V93" i="6"/>
  <c r="V98" i="6"/>
  <c r="V99" i="6"/>
  <c r="V96" i="6"/>
  <c r="V102" i="6"/>
  <c r="V97" i="6"/>
  <c r="V95" i="6"/>
  <c r="V94" i="6"/>
  <c r="H64" i="1"/>
  <c r="V194" i="7"/>
  <c r="I195" i="7"/>
  <c r="I194" i="7"/>
  <c r="J196" i="7"/>
  <c r="I4" i="6" l="1"/>
  <c r="F4" i="5" s="1"/>
  <c r="N3" i="1"/>
  <c r="M4" i="1"/>
  <c r="N4" i="1"/>
  <c r="A4" i="1"/>
  <c r="V92" i="6"/>
  <c r="Y92" i="6" s="1"/>
  <c r="N7" i="1"/>
  <c r="M7" i="1"/>
  <c r="A7" i="1" s="1"/>
  <c r="AC80" i="1"/>
  <c r="AC83" i="1"/>
  <c r="A3" i="1"/>
  <c r="M3" i="1"/>
  <c r="J195" i="7"/>
  <c r="J194" i="7"/>
  <c r="Y194" i="7"/>
  <c r="K64" i="1"/>
  <c r="M8" i="5"/>
  <c r="I92" i="6" l="1"/>
  <c r="J92" i="6" s="1"/>
  <c r="H14" i="1"/>
  <c r="AB81" i="1"/>
  <c r="Z254" i="7"/>
  <c r="N255" i="7" s="1"/>
  <c r="V255" i="7" s="1"/>
  <c r="V254" i="7" s="1"/>
  <c r="AB84" i="1"/>
  <c r="Z257" i="7"/>
  <c r="N258" i="7" s="1"/>
  <c r="V258" i="7" s="1"/>
  <c r="V257" i="7" s="1"/>
  <c r="M40" i="1"/>
  <c r="A40" i="1" s="1"/>
  <c r="N40" i="1"/>
  <c r="M36" i="1"/>
  <c r="A36" i="1" s="1"/>
  <c r="N36" i="1"/>
  <c r="A59" i="1"/>
  <c r="N59" i="1"/>
  <c r="M49" i="1"/>
  <c r="A49" i="1"/>
  <c r="N49" i="1"/>
  <c r="N8" i="5"/>
  <c r="P44" i="1" l="1"/>
  <c r="T44" i="1" s="1"/>
  <c r="N118" i="6" s="1"/>
  <c r="V118" i="6" s="1"/>
  <c r="V117" i="6" s="1"/>
  <c r="K14" i="1"/>
  <c r="Y257" i="7"/>
  <c r="I257" i="7"/>
  <c r="J257" i="7" s="1"/>
  <c r="H70" i="1"/>
  <c r="K70" i="1" s="1"/>
  <c r="I254" i="7"/>
  <c r="Y254" i="7"/>
  <c r="H69" i="1"/>
  <c r="V240" i="7"/>
  <c r="M14" i="1" l="1"/>
  <c r="N14" i="1"/>
  <c r="A14" i="1"/>
  <c r="H16" i="1"/>
  <c r="I117" i="6"/>
  <c r="Y117" i="6"/>
  <c r="Y91" i="6" s="1"/>
  <c r="Y183" i="6" s="1"/>
  <c r="Y13" i="1"/>
  <c r="V91" i="6"/>
  <c r="V183" i="6" s="1"/>
  <c r="Y16" i="1" s="1"/>
  <c r="Y240" i="7"/>
  <c r="V193" i="7"/>
  <c r="Y193" i="7" s="1"/>
  <c r="J254" i="7"/>
  <c r="J240" i="7" s="1"/>
  <c r="I240" i="7"/>
  <c r="M70" i="1"/>
  <c r="N70" i="1"/>
  <c r="A70" i="1"/>
  <c r="K69" i="1"/>
  <c r="AR6" i="1" l="1"/>
  <c r="Y12" i="1"/>
  <c r="K16" i="1"/>
  <c r="P99" i="1"/>
  <c r="T99" i="1" s="1"/>
  <c r="Z293" i="7" s="1"/>
  <c r="V294" i="7" s="1"/>
  <c r="V293" i="7" s="1"/>
  <c r="H41" i="1"/>
  <c r="P94" i="1"/>
  <c r="T94" i="1" s="1"/>
  <c r="Z264" i="7" s="1"/>
  <c r="N265" i="7" s="1"/>
  <c r="V265" i="7" s="1"/>
  <c r="V264" i="7" s="1"/>
  <c r="H72" i="1" s="1"/>
  <c r="I91" i="6"/>
  <c r="J117" i="6"/>
  <c r="J91" i="6" s="1"/>
  <c r="N69" i="1"/>
  <c r="M69" i="1"/>
  <c r="A69" i="1"/>
  <c r="M9" i="5"/>
  <c r="I193" i="7"/>
  <c r="N9" i="5"/>
  <c r="J193" i="7"/>
  <c r="N34" i="1" l="1"/>
  <c r="M21" i="1"/>
  <c r="A21" i="1" s="1"/>
  <c r="A31" i="1"/>
  <c r="M22" i="1"/>
  <c r="A34" i="1"/>
  <c r="M34" i="1"/>
  <c r="N22" i="1"/>
  <c r="M23" i="1"/>
  <c r="A23" i="1" s="1"/>
  <c r="N31" i="1"/>
  <c r="M31" i="1"/>
  <c r="N23" i="1"/>
  <c r="A22" i="1"/>
  <c r="N21" i="1"/>
  <c r="M26" i="1"/>
  <c r="M50" i="1"/>
  <c r="M68" i="1"/>
  <c r="N58" i="1"/>
  <c r="M51" i="1"/>
  <c r="N43" i="1"/>
  <c r="A51" i="1"/>
  <c r="N54" i="1"/>
  <c r="A68" i="1"/>
  <c r="M48" i="1"/>
  <c r="M57" i="1"/>
  <c r="M66" i="1"/>
  <c r="A54" i="1"/>
  <c r="A65" i="1"/>
  <c r="M42" i="1"/>
  <c r="N60" i="1"/>
  <c r="M61" i="1"/>
  <c r="N48" i="1"/>
  <c r="M53" i="1"/>
  <c r="A28" i="1"/>
  <c r="N28" i="1"/>
  <c r="N26" i="1"/>
  <c r="N50" i="1"/>
  <c r="A53" i="1"/>
  <c r="N61" i="1"/>
  <c r="M28" i="1"/>
  <c r="A52" i="1"/>
  <c r="A58" i="1"/>
  <c r="N52" i="1"/>
  <c r="N63" i="1"/>
  <c r="A42" i="1"/>
  <c r="N53" i="1"/>
  <c r="M54" i="1"/>
  <c r="N55" i="1"/>
  <c r="M52" i="1"/>
  <c r="M43" i="1"/>
  <c r="N42" i="1"/>
  <c r="N66" i="1"/>
  <c r="N65" i="1"/>
  <c r="A66" i="1"/>
  <c r="N56" i="1"/>
  <c r="A26" i="1"/>
  <c r="A55" i="1"/>
  <c r="A61" i="1"/>
  <c r="A57" i="1"/>
  <c r="A48" i="1"/>
  <c r="N57" i="1"/>
  <c r="M63" i="1"/>
  <c r="A56" i="1"/>
  <c r="M60" i="1"/>
  <c r="A60" i="1" s="1"/>
  <c r="A43" i="1"/>
  <c r="M62" i="1"/>
  <c r="M56" i="1"/>
  <c r="M58" i="1"/>
  <c r="M55" i="1"/>
  <c r="N62" i="1"/>
  <c r="A50" i="1"/>
  <c r="A62" i="1"/>
  <c r="A63" i="1"/>
  <c r="N51" i="1"/>
  <c r="M65" i="1"/>
  <c r="N68" i="1"/>
  <c r="N64" i="1"/>
  <c r="M64" i="1"/>
  <c r="A64" i="1"/>
  <c r="V260" i="7"/>
  <c r="Y260" i="7" s="1"/>
  <c r="BD73" i="1"/>
  <c r="AR5" i="1"/>
  <c r="E3" i="3"/>
  <c r="I264" i="7"/>
  <c r="J264" i="7" s="1"/>
  <c r="J260" i="7" s="1"/>
  <c r="N10" i="5" s="1"/>
  <c r="Y264" i="7"/>
  <c r="G9" i="5"/>
  <c r="G17" i="5" s="1"/>
  <c r="G9" i="4" s="1"/>
  <c r="J183" i="6"/>
  <c r="H77" i="1"/>
  <c r="K77" i="1" s="1"/>
  <c r="Y293" i="7"/>
  <c r="D15" i="4" s="1"/>
  <c r="I293" i="7"/>
  <c r="V292" i="7"/>
  <c r="Y292" i="7" s="1"/>
  <c r="I183" i="6"/>
  <c r="F9" i="5"/>
  <c r="F17" i="5" s="1"/>
  <c r="E9" i="4" s="1"/>
  <c r="M59" i="1"/>
  <c r="N16" i="1"/>
  <c r="A16" i="1"/>
  <c r="M16" i="1"/>
  <c r="BE13" i="1"/>
  <c r="BF13" i="1" s="1"/>
  <c r="BE65" i="1"/>
  <c r="BF65" i="1" s="1"/>
  <c r="K72" i="1"/>
  <c r="I260" i="7" l="1"/>
  <c r="M10" i="5" s="1"/>
  <c r="Y21" i="1"/>
  <c r="P98" i="1" s="1"/>
  <c r="T98" i="1" s="1"/>
  <c r="Z280" i="7" s="1"/>
  <c r="AI65" i="1" s="1"/>
  <c r="AE62" i="1" s="1"/>
  <c r="V281" i="7" s="1"/>
  <c r="J293" i="7"/>
  <c r="J292" i="7" s="1"/>
  <c r="N14" i="5" s="1"/>
  <c r="I292" i="7"/>
  <c r="M14" i="5" s="1"/>
  <c r="N72" i="1"/>
  <c r="A72" i="1"/>
  <c r="M72" i="1"/>
  <c r="AE61" i="1" l="1"/>
  <c r="V280" i="7"/>
  <c r="AI66" i="1"/>
  <c r="Q93" i="18"/>
  <c r="S33" i="18"/>
  <c r="O33" i="18" s="1"/>
  <c r="S89" i="18"/>
  <c r="O89" i="18" s="1"/>
  <c r="R87" i="18"/>
  <c r="Q10" i="18"/>
  <c r="S180" i="18"/>
  <c r="O180" i="18" s="1"/>
  <c r="Q164" i="18"/>
  <c r="S88" i="18"/>
  <c r="O88" i="18" s="1"/>
  <c r="S92" i="18"/>
  <c r="O92" i="18" s="1"/>
  <c r="S175" i="18"/>
  <c r="O175" i="18" s="1"/>
  <c r="S138" i="18"/>
  <c r="O138" i="18" s="1"/>
  <c r="S184" i="18"/>
  <c r="O184" i="18" s="1"/>
  <c r="Q160" i="18"/>
  <c r="U163" i="18"/>
  <c r="S145" i="18"/>
  <c r="O145" i="18" s="1"/>
  <c r="T86" i="18"/>
  <c r="Q132" i="18"/>
  <c r="Q44" i="18"/>
  <c r="R65" i="18"/>
  <c r="U34" i="18"/>
  <c r="S67" i="18"/>
  <c r="O67" i="18" s="1"/>
  <c r="U25" i="18"/>
  <c r="S6" i="18"/>
  <c r="O6" i="18" s="1"/>
  <c r="S198" i="18"/>
  <c r="O198" i="18" s="1"/>
  <c r="S106" i="18"/>
  <c r="O106" i="18" s="1"/>
  <c r="T169" i="18"/>
  <c r="S144" i="18"/>
  <c r="O144" i="18" s="1"/>
  <c r="U178" i="18"/>
  <c r="R197" i="18"/>
  <c r="U40" i="18"/>
  <c r="T32" i="18"/>
  <c r="Q37" i="18"/>
  <c r="U7" i="18"/>
  <c r="Q165" i="18"/>
  <c r="Q106" i="18"/>
  <c r="Q23" i="18"/>
  <c r="T30" i="18"/>
  <c r="Q107" i="18"/>
  <c r="R28" i="18"/>
  <c r="S148" i="18"/>
  <c r="O148" i="18" s="1"/>
  <c r="Q122" i="18"/>
  <c r="T145" i="18"/>
  <c r="R175" i="18"/>
  <c r="Q139" i="18"/>
  <c r="T23" i="18"/>
  <c r="Q149" i="18"/>
  <c r="R156" i="18"/>
  <c r="S53" i="18"/>
  <c r="O53" i="18" s="1"/>
  <c r="R72" i="18"/>
  <c r="T11" i="18"/>
  <c r="R195" i="18"/>
  <c r="U162" i="18"/>
  <c r="Q178" i="18"/>
  <c r="U172" i="18"/>
  <c r="T15" i="18"/>
  <c r="U3" i="18"/>
  <c r="Q21" i="18"/>
  <c r="R194" i="18"/>
  <c r="R91" i="18"/>
  <c r="R10" i="18"/>
  <c r="Q112" i="18"/>
  <c r="Q167" i="18"/>
  <c r="R39" i="18"/>
  <c r="S135" i="18"/>
  <c r="O135" i="18" s="1"/>
  <c r="U115" i="18"/>
  <c r="U130" i="18"/>
  <c r="U93" i="18"/>
  <c r="T67" i="18"/>
  <c r="U60" i="18"/>
  <c r="U84" i="18"/>
  <c r="U81" i="18"/>
  <c r="T91" i="18"/>
  <c r="R80" i="18"/>
  <c r="U168" i="18"/>
  <c r="R94" i="18"/>
  <c r="U106" i="18"/>
  <c r="T155" i="18"/>
  <c r="Q47" i="18"/>
  <c r="Q51" i="18"/>
  <c r="U199" i="18"/>
  <c r="T63" i="18"/>
  <c r="Q163" i="18"/>
  <c r="S176" i="18"/>
  <c r="O176" i="18" s="1"/>
  <c r="Q188" i="18"/>
  <c r="S91" i="18"/>
  <c r="O91" i="18" s="1"/>
  <c r="Q62" i="18"/>
  <c r="R13" i="18"/>
  <c r="T161" i="18"/>
  <c r="U66" i="18"/>
  <c r="Q16" i="18"/>
  <c r="Q85" i="18"/>
  <c r="Q155" i="18"/>
  <c r="T61" i="18"/>
  <c r="T108" i="18"/>
  <c r="U185" i="18"/>
  <c r="R135" i="18"/>
  <c r="R41" i="18"/>
  <c r="T20" i="18"/>
  <c r="T17" i="18"/>
  <c r="T183" i="18"/>
  <c r="T79" i="18"/>
  <c r="T4" i="18"/>
  <c r="Q120" i="18"/>
  <c r="Q9" i="18"/>
  <c r="U123" i="18"/>
  <c r="S69" i="18"/>
  <c r="O69" i="18" s="1"/>
  <c r="T59" i="18"/>
  <c r="S133" i="18"/>
  <c r="O133" i="18" s="1"/>
  <c r="R43" i="18"/>
  <c r="T160" i="18"/>
  <c r="T137" i="18"/>
  <c r="T179" i="18"/>
  <c r="U86" i="18"/>
  <c r="U8" i="18"/>
  <c r="R114" i="18"/>
  <c r="Q86" i="18"/>
  <c r="U107" i="18"/>
  <c r="U169" i="18"/>
  <c r="R30" i="18"/>
  <c r="R42" i="18"/>
  <c r="Q57" i="18"/>
  <c r="R57" i="18"/>
  <c r="T188" i="18"/>
  <c r="T110" i="18"/>
  <c r="T24" i="18"/>
  <c r="U33" i="18"/>
  <c r="Q104" i="18"/>
  <c r="R78" i="18"/>
  <c r="U129" i="18"/>
  <c r="T39" i="18"/>
  <c r="R125" i="18"/>
  <c r="S114" i="18"/>
  <c r="O114" i="18" s="1"/>
  <c r="T123" i="18"/>
  <c r="R83" i="18"/>
  <c r="R179" i="18"/>
  <c r="Q124" i="18"/>
  <c r="U45" i="18"/>
  <c r="T18" i="18"/>
  <c r="Q99" i="18"/>
  <c r="R177" i="18"/>
  <c r="Q32" i="18"/>
  <c r="T142" i="18"/>
  <c r="R86" i="18"/>
  <c r="R50" i="18"/>
  <c r="T33" i="18"/>
  <c r="S116" i="18"/>
  <c r="O116" i="18" s="1"/>
  <c r="R132" i="18"/>
  <c r="Q40" i="18"/>
  <c r="Q181" i="18"/>
  <c r="Q127" i="18"/>
  <c r="Q119" i="18"/>
  <c r="T102" i="18"/>
  <c r="Q15" i="18"/>
  <c r="R182" i="18"/>
  <c r="R128" i="18"/>
  <c r="U53" i="18"/>
  <c r="U42" i="18"/>
  <c r="Q166" i="18"/>
  <c r="Q80" i="18"/>
  <c r="U100" i="18"/>
  <c r="U55" i="18"/>
  <c r="R51" i="18"/>
  <c r="Q6" i="18"/>
  <c r="S21" i="18"/>
  <c r="O21" i="18" s="1"/>
  <c r="R34" i="18"/>
  <c r="U147" i="18"/>
  <c r="Q179" i="18"/>
  <c r="U32" i="18"/>
  <c r="Q67" i="18"/>
  <c r="T7" i="18"/>
  <c r="S50" i="18"/>
  <c r="O50" i="18" s="1"/>
  <c r="S126" i="18"/>
  <c r="O126" i="18" s="1"/>
  <c r="S14" i="18"/>
  <c r="O14" i="18" s="1"/>
  <c r="S172" i="18"/>
  <c r="O172" i="18" s="1"/>
  <c r="S29" i="18"/>
  <c r="O29" i="18" s="1"/>
  <c r="Q74" i="18"/>
  <c r="S167" i="18"/>
  <c r="O167" i="18" s="1"/>
  <c r="U77" i="18"/>
  <c r="U36" i="18"/>
  <c r="T194" i="18"/>
  <c r="S75" i="18"/>
  <c r="O75" i="18" s="1"/>
  <c r="S5" i="18"/>
  <c r="O5" i="18" s="1"/>
  <c r="S171" i="18"/>
  <c r="O171" i="18" s="1"/>
  <c r="R89" i="18"/>
  <c r="U173" i="18"/>
  <c r="S37" i="18"/>
  <c r="O37" i="18" s="1"/>
  <c r="Q117" i="18"/>
  <c r="T176" i="18"/>
  <c r="T201" i="18"/>
  <c r="Q134" i="18"/>
  <c r="U122" i="18"/>
  <c r="S161" i="18"/>
  <c r="O161" i="18" s="1"/>
  <c r="Q172" i="18"/>
  <c r="R131" i="18"/>
  <c r="Q105" i="18"/>
  <c r="Q145" i="18"/>
  <c r="Q31" i="18"/>
  <c r="Q24" i="18"/>
  <c r="R52" i="18"/>
  <c r="R198" i="18"/>
  <c r="R192" i="18"/>
  <c r="R45" i="18"/>
  <c r="U152" i="18"/>
  <c r="T22" i="18"/>
  <c r="T26" i="18"/>
  <c r="U196" i="18"/>
  <c r="T45" i="18"/>
  <c r="R46" i="18"/>
  <c r="R146" i="18"/>
  <c r="U109" i="18"/>
  <c r="T156" i="18"/>
  <c r="T101" i="18"/>
  <c r="Q169" i="18"/>
  <c r="R11" i="18"/>
  <c r="R53" i="18"/>
  <c r="Q72" i="18"/>
  <c r="T186" i="18"/>
  <c r="T143" i="18"/>
  <c r="U182" i="18"/>
  <c r="T197" i="18"/>
  <c r="R77" i="18"/>
  <c r="U180" i="18"/>
  <c r="Q187" i="18"/>
  <c r="U198" i="18"/>
  <c r="U170" i="18"/>
  <c r="R63" i="18"/>
  <c r="T66" i="18"/>
  <c r="T127" i="18"/>
  <c r="Q12" i="18"/>
  <c r="U98" i="18"/>
  <c r="U44" i="18"/>
  <c r="S38" i="18"/>
  <c r="O38" i="18" s="1"/>
  <c r="T53" i="18"/>
  <c r="S165" i="18"/>
  <c r="O165" i="18" s="1"/>
  <c r="Q5" i="18"/>
  <c r="U134" i="18"/>
  <c r="U30" i="18"/>
  <c r="U150" i="18"/>
  <c r="T144" i="18"/>
  <c r="T68" i="18"/>
  <c r="Q142" i="18"/>
  <c r="R187" i="18"/>
  <c r="T121" i="18"/>
  <c r="U175" i="18"/>
  <c r="U27" i="18"/>
  <c r="R54" i="18"/>
  <c r="R196" i="18"/>
  <c r="R202" i="18"/>
  <c r="T62" i="18"/>
  <c r="Q114" i="18"/>
  <c r="Q186" i="18"/>
  <c r="S99" i="18"/>
  <c r="O99" i="18" s="1"/>
  <c r="U39" i="18"/>
  <c r="T84" i="18"/>
  <c r="T141" i="18"/>
  <c r="Q41" i="18"/>
  <c r="Q30" i="18"/>
  <c r="T40" i="18"/>
  <c r="U164" i="18"/>
  <c r="T41" i="18"/>
  <c r="U76" i="18"/>
  <c r="Q27" i="18"/>
  <c r="S202" i="18"/>
  <c r="O202" i="18" s="1"/>
  <c r="U135" i="18"/>
  <c r="U70" i="18"/>
  <c r="U10" i="18"/>
  <c r="Q43" i="18"/>
  <c r="Q84" i="18"/>
  <c r="T103" i="18"/>
  <c r="R201" i="18"/>
  <c r="R172" i="18"/>
  <c r="T128" i="18"/>
  <c r="T37" i="18"/>
  <c r="Q156" i="18"/>
  <c r="S141" i="18"/>
  <c r="O141" i="18" s="1"/>
  <c r="T88" i="18"/>
  <c r="U179" i="18"/>
  <c r="U104" i="18"/>
  <c r="T191" i="18"/>
  <c r="U146" i="18"/>
  <c r="R56" i="18"/>
  <c r="R7" i="18"/>
  <c r="R90" i="18"/>
  <c r="U24" i="18"/>
  <c r="R75" i="18"/>
  <c r="U12" i="18"/>
  <c r="T34" i="18"/>
  <c r="Q65" i="18"/>
  <c r="T157" i="18"/>
  <c r="R19" i="18"/>
  <c r="U99" i="18"/>
  <c r="Q77" i="18"/>
  <c r="T8" i="18"/>
  <c r="U201" i="18"/>
  <c r="R88" i="18"/>
  <c r="T48" i="18"/>
  <c r="Q174" i="18"/>
  <c r="R107" i="18"/>
  <c r="R115" i="18"/>
  <c r="Q59" i="18"/>
  <c r="S17" i="18"/>
  <c r="O17" i="18" s="1"/>
  <c r="T164" i="18"/>
  <c r="S20" i="18"/>
  <c r="O20" i="18" s="1"/>
  <c r="Q197" i="18"/>
  <c r="T130" i="18"/>
  <c r="S168" i="18"/>
  <c r="O168" i="18" s="1"/>
  <c r="R162" i="18"/>
  <c r="T134" i="18"/>
  <c r="Q39" i="18"/>
  <c r="S120" i="18"/>
  <c r="O120" i="18" s="1"/>
  <c r="R40" i="18"/>
  <c r="U50" i="18"/>
  <c r="T159" i="18"/>
  <c r="Q195" i="18"/>
  <c r="R137" i="18"/>
  <c r="R164" i="18"/>
  <c r="U105" i="18"/>
  <c r="T195" i="18"/>
  <c r="U143" i="18"/>
  <c r="T173" i="18"/>
  <c r="U148" i="18"/>
  <c r="R165" i="18"/>
  <c r="T81" i="18"/>
  <c r="Q193" i="18"/>
  <c r="U11" i="18"/>
  <c r="U92" i="18"/>
  <c r="U90" i="18"/>
  <c r="U16" i="18"/>
  <c r="T104" i="18"/>
  <c r="R136" i="18"/>
  <c r="U91" i="18"/>
  <c r="R59" i="18"/>
  <c r="R145" i="18"/>
  <c r="T51" i="18"/>
  <c r="R67" i="18"/>
  <c r="S196" i="18"/>
  <c r="O196" i="18" s="1"/>
  <c r="U67" i="18"/>
  <c r="U13" i="18"/>
  <c r="Q55" i="18"/>
  <c r="S132" i="18"/>
  <c r="O132" i="18" s="1"/>
  <c r="T76" i="18"/>
  <c r="U118" i="18"/>
  <c r="R188" i="18"/>
  <c r="Q3" i="18"/>
  <c r="Q50" i="18"/>
  <c r="S79" i="18"/>
  <c r="O79" i="18" s="1"/>
  <c r="Q94" i="18"/>
  <c r="S76" i="18"/>
  <c r="O76" i="18" s="1"/>
  <c r="S54" i="18"/>
  <c r="O54" i="18" s="1"/>
  <c r="Q198" i="18"/>
  <c r="S58" i="18"/>
  <c r="O58" i="18" s="1"/>
  <c r="S3" i="18"/>
  <c r="O3" i="18" s="1"/>
  <c r="S8" i="18"/>
  <c r="O8" i="18" s="1"/>
  <c r="U132" i="18"/>
  <c r="U112" i="18"/>
  <c r="S9" i="18"/>
  <c r="O9" i="18" s="1"/>
  <c r="T105" i="18"/>
  <c r="S43" i="18"/>
  <c r="O43" i="18" s="1"/>
  <c r="S74" i="18"/>
  <c r="O74" i="18" s="1"/>
  <c r="R35" i="18"/>
  <c r="Q100" i="18"/>
  <c r="U191" i="18"/>
  <c r="U186" i="18"/>
  <c r="T177" i="18"/>
  <c r="R74" i="18"/>
  <c r="U23" i="18"/>
  <c r="R186" i="18"/>
  <c r="Q83" i="18"/>
  <c r="T153" i="18"/>
  <c r="Q89" i="18"/>
  <c r="T25" i="18"/>
  <c r="Q75" i="18"/>
  <c r="U124" i="18"/>
  <c r="T56" i="18"/>
  <c r="Q36" i="18"/>
  <c r="T28" i="18"/>
  <c r="R144" i="18"/>
  <c r="T185" i="18"/>
  <c r="U58" i="18"/>
  <c r="T187" i="18"/>
  <c r="U64" i="18"/>
  <c r="R6" i="18"/>
  <c r="U102" i="18"/>
  <c r="S64" i="18"/>
  <c r="O64" i="18" s="1"/>
  <c r="U159" i="18"/>
  <c r="R141" i="18"/>
  <c r="T60" i="18"/>
  <c r="U59" i="18"/>
  <c r="R14" i="18"/>
  <c r="R111" i="18"/>
  <c r="U103" i="18"/>
  <c r="T10" i="18"/>
  <c r="T16" i="18"/>
  <c r="U136" i="18"/>
  <c r="R181" i="18"/>
  <c r="Q35" i="18"/>
  <c r="S182" i="18"/>
  <c r="O182" i="18" s="1"/>
  <c r="S15" i="18"/>
  <c r="O15" i="18" s="1"/>
  <c r="U65" i="18"/>
  <c r="R124" i="18"/>
  <c r="U79" i="18"/>
  <c r="R105" i="18"/>
  <c r="U17" i="18"/>
  <c r="R82" i="18"/>
  <c r="U78" i="18"/>
  <c r="T192" i="18"/>
  <c r="Q20" i="18"/>
  <c r="T117" i="18"/>
  <c r="U125" i="18"/>
  <c r="T135" i="18"/>
  <c r="Q202" i="18"/>
  <c r="Q190" i="18"/>
  <c r="T200" i="18"/>
  <c r="Q110" i="18"/>
  <c r="S117" i="18"/>
  <c r="O117" i="18" s="1"/>
  <c r="T182" i="18"/>
  <c r="S124" i="18"/>
  <c r="O124" i="18" s="1"/>
  <c r="U181" i="18"/>
  <c r="T109" i="18"/>
  <c r="T196" i="18"/>
  <c r="R134" i="18"/>
  <c r="U48" i="18"/>
  <c r="S179" i="18"/>
  <c r="O179" i="18" s="1"/>
  <c r="Q173" i="18"/>
  <c r="S56" i="18"/>
  <c r="O56" i="18" s="1"/>
  <c r="Q175" i="18"/>
  <c r="R84" i="18"/>
  <c r="T118" i="18"/>
  <c r="T115" i="18"/>
  <c r="R171" i="18"/>
  <c r="Q140" i="18"/>
  <c r="S160" i="18"/>
  <c r="O160" i="18" s="1"/>
  <c r="Q183" i="18"/>
  <c r="Q101" i="18"/>
  <c r="Q200" i="18"/>
  <c r="T27" i="18"/>
  <c r="R76" i="18"/>
  <c r="R38" i="18"/>
  <c r="R180" i="18"/>
  <c r="U160" i="18"/>
  <c r="U189" i="18"/>
  <c r="Q158" i="18"/>
  <c r="R93" i="18"/>
  <c r="T85" i="18"/>
  <c r="S152" i="18"/>
  <c r="O152" i="18" s="1"/>
  <c r="R95" i="18"/>
  <c r="Q194" i="18"/>
  <c r="R155" i="18"/>
  <c r="T126" i="18"/>
  <c r="U166" i="18"/>
  <c r="S47" i="18"/>
  <c r="O47" i="18" s="1"/>
  <c r="U29" i="18"/>
  <c r="Q52" i="18"/>
  <c r="R193" i="18"/>
  <c r="Q162" i="18"/>
  <c r="Q78" i="18"/>
  <c r="Q38" i="18"/>
  <c r="R61" i="18"/>
  <c r="U68" i="18"/>
  <c r="U151" i="18"/>
  <c r="U121" i="18"/>
  <c r="R70" i="18"/>
  <c r="T181" i="18"/>
  <c r="S61" i="18"/>
  <c r="O61" i="18" s="1"/>
  <c r="Q130" i="18"/>
  <c r="T152" i="18"/>
  <c r="U41" i="18"/>
  <c r="Q42" i="18"/>
  <c r="U57" i="18"/>
  <c r="T113" i="18"/>
  <c r="R147" i="18"/>
  <c r="Q129" i="18"/>
  <c r="Q113" i="18"/>
  <c r="R159" i="18"/>
  <c r="R117" i="18"/>
  <c r="U72" i="18"/>
  <c r="R62" i="18"/>
  <c r="Q13" i="18"/>
  <c r="U202" i="18"/>
  <c r="Q98" i="18"/>
  <c r="U52" i="18"/>
  <c r="S142" i="18"/>
  <c r="O142" i="18" s="1"/>
  <c r="Q60" i="18"/>
  <c r="S164" i="18"/>
  <c r="O164" i="18" s="1"/>
  <c r="S45" i="18"/>
  <c r="O45" i="18" s="1"/>
  <c r="R92" i="18"/>
  <c r="T131" i="18"/>
  <c r="T125" i="18"/>
  <c r="Q14" i="18"/>
  <c r="U87" i="18"/>
  <c r="R25" i="18"/>
  <c r="Q76" i="18"/>
  <c r="Q108" i="18"/>
  <c r="R8" i="18"/>
  <c r="R153" i="18"/>
  <c r="Q115" i="18"/>
  <c r="U46" i="18"/>
  <c r="S70" i="18"/>
  <c r="O70" i="18" s="1"/>
  <c r="R176" i="18"/>
  <c r="S109" i="18"/>
  <c r="O109" i="18" s="1"/>
  <c r="Q26" i="18"/>
  <c r="T38" i="18"/>
  <c r="U157" i="18"/>
  <c r="R32" i="18"/>
  <c r="R24" i="18"/>
  <c r="S143" i="18"/>
  <c r="O143" i="18" s="1"/>
  <c r="S169" i="18"/>
  <c r="O169" i="18" s="1"/>
  <c r="T170" i="18"/>
  <c r="S112" i="18"/>
  <c r="O112" i="18" s="1"/>
  <c r="Q138" i="18"/>
  <c r="Q131" i="18"/>
  <c r="R116" i="18"/>
  <c r="S90" i="18"/>
  <c r="O90" i="18" s="1"/>
  <c r="Q109" i="18"/>
  <c r="S60" i="18"/>
  <c r="O60" i="18" s="1"/>
  <c r="R17" i="18"/>
  <c r="T172" i="18"/>
  <c r="T55" i="18"/>
  <c r="S127" i="18"/>
  <c r="O127" i="18" s="1"/>
  <c r="T78" i="18"/>
  <c r="S102" i="18"/>
  <c r="O102" i="18" s="1"/>
  <c r="U187" i="18"/>
  <c r="S140" i="18"/>
  <c r="O140" i="18" s="1"/>
  <c r="S72" i="18"/>
  <c r="O72" i="18" s="1"/>
  <c r="S166" i="18"/>
  <c r="O166" i="18" s="1"/>
  <c r="R189" i="18"/>
  <c r="R158" i="18"/>
  <c r="T119" i="18"/>
  <c r="Q143" i="18"/>
  <c r="U88" i="18"/>
  <c r="U83" i="18"/>
  <c r="U177" i="18"/>
  <c r="Q102" i="18"/>
  <c r="Q45" i="18"/>
  <c r="T58" i="18"/>
  <c r="T49" i="18"/>
  <c r="R139" i="18"/>
  <c r="Q171" i="18"/>
  <c r="U137" i="18"/>
  <c r="R152" i="18"/>
  <c r="R151" i="18"/>
  <c r="U74" i="18"/>
  <c r="Q79" i="18"/>
  <c r="R16" i="18"/>
  <c r="T122" i="18"/>
  <c r="T190" i="18"/>
  <c r="S48" i="18"/>
  <c r="O48" i="18" s="1"/>
  <c r="R3" i="18"/>
  <c r="R102" i="18"/>
  <c r="T83" i="18"/>
  <c r="Q189" i="18"/>
  <c r="R73" i="18"/>
  <c r="Q151" i="18"/>
  <c r="Q191" i="18"/>
  <c r="U15" i="18"/>
  <c r="U142" i="18"/>
  <c r="R142" i="18"/>
  <c r="Q29" i="18"/>
  <c r="U158" i="18"/>
  <c r="S95" i="18"/>
  <c r="O95" i="18" s="1"/>
  <c r="T31" i="18"/>
  <c r="T116" i="18"/>
  <c r="U184" i="18"/>
  <c r="Q144" i="18"/>
  <c r="T80" i="18"/>
  <c r="U154" i="18"/>
  <c r="U108" i="18"/>
  <c r="U149" i="18"/>
  <c r="S197" i="18"/>
  <c r="O197" i="18" s="1"/>
  <c r="T5" i="18"/>
  <c r="U126" i="18"/>
  <c r="R190" i="18"/>
  <c r="R12" i="18"/>
  <c r="T75" i="18"/>
  <c r="Q61" i="18"/>
  <c r="Q154" i="18"/>
  <c r="Q180" i="18"/>
  <c r="T111" i="18"/>
  <c r="T72" i="18"/>
  <c r="T162" i="18"/>
  <c r="Q133" i="18"/>
  <c r="Q71" i="18"/>
  <c r="T93" i="18"/>
  <c r="Q92" i="18"/>
  <c r="U19" i="18"/>
  <c r="R148" i="18"/>
  <c r="T150" i="18"/>
  <c r="U167" i="18"/>
  <c r="Q87" i="18"/>
  <c r="R173" i="18"/>
  <c r="U120" i="18"/>
  <c r="U31" i="18"/>
  <c r="U197" i="18"/>
  <c r="R37" i="18"/>
  <c r="T107" i="18"/>
  <c r="R130" i="18"/>
  <c r="T36" i="18"/>
  <c r="T77" i="18"/>
  <c r="Q184" i="18"/>
  <c r="Q201" i="18"/>
  <c r="R178" i="18"/>
  <c r="T171" i="18"/>
  <c r="U133" i="18"/>
  <c r="U95" i="18"/>
  <c r="U18" i="18"/>
  <c r="R47" i="18"/>
  <c r="T148" i="18"/>
  <c r="Q137" i="18"/>
  <c r="Q123" i="18"/>
  <c r="Q46" i="18"/>
  <c r="U131" i="18"/>
  <c r="S195" i="18"/>
  <c r="O195" i="18" s="1"/>
  <c r="R140" i="18"/>
  <c r="U96" i="18"/>
  <c r="R4" i="18"/>
  <c r="U110" i="18"/>
  <c r="T97" i="18"/>
  <c r="U101" i="18"/>
  <c r="U51" i="18"/>
  <c r="T174" i="18"/>
  <c r="R68" i="18"/>
  <c r="U195" i="18"/>
  <c r="T154" i="18"/>
  <c r="T94" i="18"/>
  <c r="U9" i="18"/>
  <c r="T151" i="18"/>
  <c r="T167" i="18"/>
  <c r="U176" i="18"/>
  <c r="T106" i="18"/>
  <c r="T178" i="18"/>
  <c r="U80" i="18"/>
  <c r="R149" i="18"/>
  <c r="Q17" i="18"/>
  <c r="S200" i="18"/>
  <c r="O200" i="18" s="1"/>
  <c r="S156" i="18"/>
  <c r="O156" i="18" s="1"/>
  <c r="R167" i="18"/>
  <c r="S73" i="18"/>
  <c r="O73" i="18" s="1"/>
  <c r="Q64" i="18"/>
  <c r="Q56" i="18"/>
  <c r="R22" i="18"/>
  <c r="U165" i="18"/>
  <c r="S32" i="18"/>
  <c r="O32" i="18" s="1"/>
  <c r="R123" i="18"/>
  <c r="R36" i="18"/>
  <c r="R150" i="18"/>
  <c r="U20" i="18"/>
  <c r="T71" i="18"/>
  <c r="R5" i="18"/>
  <c r="U127" i="18"/>
  <c r="U111" i="18"/>
  <c r="T129" i="18"/>
  <c r="S173" i="18"/>
  <c r="O173" i="18" s="1"/>
  <c r="S150" i="18"/>
  <c r="O150" i="18" s="1"/>
  <c r="Q121" i="18"/>
  <c r="U49" i="18"/>
  <c r="U188" i="18"/>
  <c r="Q126" i="18"/>
  <c r="Q153" i="18"/>
  <c r="S87" i="18"/>
  <c r="O87" i="18" s="1"/>
  <c r="U193" i="18"/>
  <c r="T132" i="18"/>
  <c r="R163" i="18"/>
  <c r="U54" i="18"/>
  <c r="U183" i="18"/>
  <c r="T120" i="18"/>
  <c r="U56" i="18"/>
  <c r="U190" i="18"/>
  <c r="Q161" i="18"/>
  <c r="S62" i="18"/>
  <c r="O62" i="18" s="1"/>
  <c r="T165" i="18"/>
  <c r="R100" i="18"/>
  <c r="T158" i="18"/>
  <c r="U75" i="18"/>
  <c r="R122" i="18"/>
  <c r="T50" i="18"/>
  <c r="R106" i="18"/>
  <c r="R191" i="18"/>
  <c r="Q66" i="18"/>
  <c r="R133" i="18"/>
  <c r="Q192" i="18"/>
  <c r="R64" i="18"/>
  <c r="R23" i="18"/>
  <c r="Q25" i="18"/>
  <c r="R120" i="18"/>
  <c r="R20" i="18"/>
  <c r="U155" i="18"/>
  <c r="U200" i="18"/>
  <c r="R9" i="18"/>
  <c r="Q196" i="18"/>
  <c r="R143" i="18"/>
  <c r="R184" i="18"/>
  <c r="U144" i="18"/>
  <c r="Q182" i="18"/>
  <c r="S86" i="18"/>
  <c r="O86" i="18" s="1"/>
  <c r="S103" i="18"/>
  <c r="O103" i="18" s="1"/>
  <c r="Q7" i="18"/>
  <c r="S34" i="18"/>
  <c r="O34" i="18" s="1"/>
  <c r="S147" i="18"/>
  <c r="O147" i="18" s="1"/>
  <c r="S51" i="18"/>
  <c r="O51" i="18" s="1"/>
  <c r="U47" i="18"/>
  <c r="T189" i="18"/>
  <c r="S30" i="18"/>
  <c r="O30" i="18" s="1"/>
  <c r="R138" i="18"/>
  <c r="R79" i="18"/>
  <c r="S174" i="18"/>
  <c r="O174" i="18" s="1"/>
  <c r="S13" i="18"/>
  <c r="O13" i="18" s="1"/>
  <c r="S40" i="18"/>
  <c r="O40" i="18" s="1"/>
  <c r="S83" i="18"/>
  <c r="O83" i="18" s="1"/>
  <c r="R119" i="18"/>
  <c r="T198" i="18"/>
  <c r="U140" i="18"/>
  <c r="S153" i="18"/>
  <c r="O153" i="18" s="1"/>
  <c r="Q53" i="18"/>
  <c r="U113" i="18"/>
  <c r="T95" i="18"/>
  <c r="Q28" i="18"/>
  <c r="S119" i="18"/>
  <c r="O119" i="18" s="1"/>
  <c r="U141" i="18"/>
  <c r="T89" i="18"/>
  <c r="R99" i="18"/>
  <c r="T12" i="18"/>
  <c r="U128" i="18"/>
  <c r="T168" i="18"/>
  <c r="U62" i="18"/>
  <c r="S170" i="18"/>
  <c r="O170" i="18" s="1"/>
  <c r="S187" i="18"/>
  <c r="O187" i="18" s="1"/>
  <c r="T139" i="18"/>
  <c r="S139" i="18"/>
  <c r="O139" i="18" s="1"/>
  <c r="U71" i="18"/>
  <c r="R103" i="18"/>
  <c r="Q69" i="18"/>
  <c r="S185" i="18"/>
  <c r="O185" i="18" s="1"/>
  <c r="T46" i="18"/>
  <c r="S183" i="18"/>
  <c r="O183" i="18" s="1"/>
  <c r="S97" i="18"/>
  <c r="O97" i="18" s="1"/>
  <c r="S81" i="18"/>
  <c r="O81" i="18" s="1"/>
  <c r="Q18" i="18"/>
  <c r="Q118" i="18"/>
  <c r="S189" i="18"/>
  <c r="O189" i="18" s="1"/>
  <c r="S155" i="18"/>
  <c r="O155" i="18" s="1"/>
  <c r="T138" i="18"/>
  <c r="S151" i="18"/>
  <c r="O151" i="18" s="1"/>
  <c r="S96" i="18"/>
  <c r="O96" i="18" s="1"/>
  <c r="T43" i="18"/>
  <c r="Q185" i="18"/>
  <c r="Q90" i="18"/>
  <c r="S59" i="18"/>
  <c r="O59" i="18" s="1"/>
  <c r="R104" i="18"/>
  <c r="S93" i="18"/>
  <c r="O93" i="18" s="1"/>
  <c r="T52" i="18"/>
  <c r="U61" i="18"/>
  <c r="U194" i="18"/>
  <c r="T87" i="18"/>
  <c r="S107" i="18"/>
  <c r="O107" i="18" s="1"/>
  <c r="S84" i="18"/>
  <c r="O84" i="18" s="1"/>
  <c r="Q4" i="18"/>
  <c r="T9" i="18"/>
  <c r="U4" i="18"/>
  <c r="S19" i="18"/>
  <c r="O19" i="18" s="1"/>
  <c r="S129" i="18"/>
  <c r="O129" i="18" s="1"/>
  <c r="Q157" i="18"/>
  <c r="S31" i="18"/>
  <c r="O31" i="18" s="1"/>
  <c r="S24" i="18"/>
  <c r="O24" i="18" s="1"/>
  <c r="T98" i="18"/>
  <c r="S192" i="18"/>
  <c r="O192" i="18" s="1"/>
  <c r="R108" i="18"/>
  <c r="Q147" i="18"/>
  <c r="R110" i="18"/>
  <c r="S78" i="18"/>
  <c r="O78" i="18" s="1"/>
  <c r="S23" i="18"/>
  <c r="O23" i="18" s="1"/>
  <c r="R98" i="18"/>
  <c r="S113" i="18"/>
  <c r="O113" i="18" s="1"/>
  <c r="T163" i="18"/>
  <c r="R161" i="18"/>
  <c r="Q159" i="18"/>
  <c r="Q97" i="18"/>
  <c r="R29" i="18"/>
  <c r="R85" i="18"/>
  <c r="R96" i="18"/>
  <c r="R112" i="18"/>
  <c r="T21" i="18"/>
  <c r="U22" i="18"/>
  <c r="U69" i="18"/>
  <c r="U5" i="18"/>
  <c r="R31" i="18"/>
  <c r="Q68" i="18"/>
  <c r="T47" i="18"/>
  <c r="S186" i="18"/>
  <c r="O186" i="18" s="1"/>
  <c r="U38" i="18"/>
  <c r="R160" i="18"/>
  <c r="T70" i="18"/>
  <c r="R101" i="18"/>
  <c r="R27" i="18"/>
  <c r="U6" i="18"/>
  <c r="Q128" i="18"/>
  <c r="R71" i="18"/>
  <c r="Q70" i="18"/>
  <c r="S18" i="18"/>
  <c r="O18" i="18" s="1"/>
  <c r="S39" i="18"/>
  <c r="O39" i="18" s="1"/>
  <c r="S42" i="18"/>
  <c r="O42" i="18" s="1"/>
  <c r="S199" i="18"/>
  <c r="O199" i="18" s="1"/>
  <c r="U21" i="18"/>
  <c r="U153" i="18"/>
  <c r="S77" i="18"/>
  <c r="O77" i="18" s="1"/>
  <c r="Q96" i="18"/>
  <c r="S57" i="18"/>
  <c r="O57" i="18" s="1"/>
  <c r="S7" i="18"/>
  <c r="O7" i="18" s="1"/>
  <c r="U28" i="18"/>
  <c r="R21" i="18"/>
  <c r="R170" i="18"/>
  <c r="S55" i="18"/>
  <c r="O55" i="18" s="1"/>
  <c r="Q150" i="18"/>
  <c r="T99" i="18"/>
  <c r="U119" i="18"/>
  <c r="T175" i="18"/>
  <c r="T166" i="18"/>
  <c r="S100" i="18"/>
  <c r="O100" i="18" s="1"/>
  <c r="S94" i="18"/>
  <c r="O94" i="18" s="1"/>
  <c r="T202" i="18"/>
  <c r="T133" i="18"/>
  <c r="Q103" i="18"/>
  <c r="T14" i="18"/>
  <c r="Q95" i="18"/>
  <c r="T64" i="18"/>
  <c r="U73" i="18"/>
  <c r="U139" i="18"/>
  <c r="Q136" i="18"/>
  <c r="Q125" i="18"/>
  <c r="S137" i="18"/>
  <c r="O137" i="18" s="1"/>
  <c r="T114" i="18"/>
  <c r="T13" i="18"/>
  <c r="U171" i="18"/>
  <c r="S26" i="18"/>
  <c r="O26" i="18" s="1"/>
  <c r="S110" i="18"/>
  <c r="O110" i="18" s="1"/>
  <c r="U85" i="18"/>
  <c r="Q49" i="18"/>
  <c r="R55" i="18"/>
  <c r="T19" i="18"/>
  <c r="R154" i="18"/>
  <c r="T42" i="18"/>
  <c r="T124" i="18"/>
  <c r="R199" i="18"/>
  <c r="R58" i="18"/>
  <c r="R15" i="18"/>
  <c r="R48" i="18"/>
  <c r="R97" i="18"/>
  <c r="R127" i="18"/>
  <c r="Q48" i="18"/>
  <c r="S28" i="18"/>
  <c r="O28" i="18" s="1"/>
  <c r="S194" i="18"/>
  <c r="O194" i="18" s="1"/>
  <c r="Q135" i="18"/>
  <c r="S65" i="18"/>
  <c r="O65" i="18" s="1"/>
  <c r="S108" i="18"/>
  <c r="O108" i="18" s="1"/>
  <c r="T92" i="18"/>
  <c r="T74" i="18"/>
  <c r="S115" i="18"/>
  <c r="O115" i="18" s="1"/>
  <c r="S190" i="18"/>
  <c r="O190" i="18" s="1"/>
  <c r="S146" i="18"/>
  <c r="O146" i="18" s="1"/>
  <c r="U114" i="18"/>
  <c r="T140" i="18"/>
  <c r="S16" i="18"/>
  <c r="O16" i="18" s="1"/>
  <c r="T6" i="18"/>
  <c r="Q148" i="18"/>
  <c r="T69" i="18"/>
  <c r="T29" i="18"/>
  <c r="U14" i="18"/>
  <c r="T57" i="18"/>
  <c r="R169" i="18"/>
  <c r="Q73" i="18"/>
  <c r="Q170" i="18"/>
  <c r="Q58" i="18"/>
  <c r="S4" i="18"/>
  <c r="O4" i="18" s="1"/>
  <c r="T199" i="18"/>
  <c r="U138" i="18"/>
  <c r="S12" i="18"/>
  <c r="O12" i="18" s="1"/>
  <c r="R109" i="18"/>
  <c r="S85" i="18"/>
  <c r="O85" i="18" s="1"/>
  <c r="S177" i="18"/>
  <c r="O177" i="18" s="1"/>
  <c r="S162" i="18"/>
  <c r="O162" i="18" s="1"/>
  <c r="S44" i="18"/>
  <c r="O44" i="18" s="1"/>
  <c r="T73" i="18"/>
  <c r="S191" i="18"/>
  <c r="O191" i="18" s="1"/>
  <c r="S98" i="18"/>
  <c r="O98" i="18" s="1"/>
  <c r="R69" i="18"/>
  <c r="Q116" i="18"/>
  <c r="T146" i="18"/>
  <c r="S154" i="18"/>
  <c r="O154" i="18" s="1"/>
  <c r="S22" i="18"/>
  <c r="O22" i="18" s="1"/>
  <c r="S25" i="18"/>
  <c r="O25" i="18" s="1"/>
  <c r="U156" i="18"/>
  <c r="R66" i="18"/>
  <c r="S131" i="18"/>
  <c r="O131" i="18" s="1"/>
  <c r="S125" i="18"/>
  <c r="O125" i="18" s="1"/>
  <c r="S122" i="18"/>
  <c r="O122" i="18" s="1"/>
  <c r="R60" i="18"/>
  <c r="S188" i="18"/>
  <c r="O188" i="18" s="1"/>
  <c r="T100" i="18"/>
  <c r="U26" i="18"/>
  <c r="R157" i="18"/>
  <c r="R168" i="18"/>
  <c r="S149" i="18"/>
  <c r="O149" i="18" s="1"/>
  <c r="U94" i="18"/>
  <c r="T3" i="18"/>
  <c r="S128" i="18"/>
  <c r="O128" i="18" s="1"/>
  <c r="T180" i="18"/>
  <c r="S27" i="18"/>
  <c r="O27" i="18" s="1"/>
  <c r="U43" i="18"/>
  <c r="T147" i="18"/>
  <c r="R121" i="18"/>
  <c r="Q88" i="18"/>
  <c r="T90" i="18"/>
  <c r="U63" i="18"/>
  <c r="T54" i="18"/>
  <c r="S36" i="18"/>
  <c r="O36" i="18" s="1"/>
  <c r="Q11" i="18"/>
  <c r="T35" i="18"/>
  <c r="Q8" i="18"/>
  <c r="Q81" i="18"/>
  <c r="S159" i="18"/>
  <c r="O159" i="18" s="1"/>
  <c r="R49" i="18"/>
  <c r="T184" i="18"/>
  <c r="Q141" i="18"/>
  <c r="R166" i="18"/>
  <c r="T44" i="18"/>
  <c r="R118" i="18"/>
  <c r="R183" i="18"/>
  <c r="R126" i="18"/>
  <c r="Q63" i="18"/>
  <c r="U192" i="18"/>
  <c r="R185" i="18"/>
  <c r="Q176" i="18"/>
  <c r="R113" i="18"/>
  <c r="Q34" i="18"/>
  <c r="Q22" i="18"/>
  <c r="U89" i="18"/>
  <c r="T112" i="18"/>
  <c r="Q146" i="18"/>
  <c r="Q168" i="18"/>
  <c r="T193" i="18"/>
  <c r="S121" i="18"/>
  <c r="O121" i="18" s="1"/>
  <c r="S101" i="18"/>
  <c r="O101" i="18" s="1"/>
  <c r="Q91" i="18"/>
  <c r="R18" i="18"/>
  <c r="S11" i="18"/>
  <c r="O11" i="18" s="1"/>
  <c r="T149" i="18"/>
  <c r="S193" i="18"/>
  <c r="O193" i="18" s="1"/>
  <c r="R129" i="18"/>
  <c r="S66" i="18"/>
  <c r="O66" i="18" s="1"/>
  <c r="S136" i="18"/>
  <c r="O136" i="18" s="1"/>
  <c r="T65" i="18"/>
  <c r="S181" i="18"/>
  <c r="O181" i="18" s="1"/>
  <c r="S46" i="18"/>
  <c r="O46" i="18" s="1"/>
  <c r="R33" i="18"/>
  <c r="S68" i="18"/>
  <c r="O68" i="18" s="1"/>
  <c r="R81" i="18"/>
  <c r="S134" i="18"/>
  <c r="O134" i="18" s="1"/>
  <c r="S111" i="18"/>
  <c r="O111" i="18" s="1"/>
  <c r="Q82" i="18"/>
  <c r="S178" i="18"/>
  <c r="O178" i="18" s="1"/>
  <c r="S201" i="18"/>
  <c r="O201" i="18" s="1"/>
  <c r="S130" i="18"/>
  <c r="O130" i="18" s="1"/>
  <c r="S10" i="18"/>
  <c r="O10" i="18" s="1"/>
  <c r="U97" i="18"/>
  <c r="S163" i="18"/>
  <c r="O163" i="18" s="1"/>
  <c r="S80" i="18"/>
  <c r="O80" i="18" s="1"/>
  <c r="S52" i="18"/>
  <c r="O52" i="18" s="1"/>
  <c r="Q54" i="18"/>
  <c r="Q152" i="18"/>
  <c r="S118" i="18"/>
  <c r="O118" i="18" s="1"/>
  <c r="Q177" i="18"/>
  <c r="U174" i="18"/>
  <c r="S157" i="18"/>
  <c r="O157" i="18" s="1"/>
  <c r="S63" i="18"/>
  <c r="O63" i="18" s="1"/>
  <c r="S104" i="18"/>
  <c r="O104" i="18" s="1"/>
  <c r="T96" i="18"/>
  <c r="S71" i="18"/>
  <c r="O71" i="18" s="1"/>
  <c r="U82" i="18"/>
  <c r="S123" i="18"/>
  <c r="O123" i="18" s="1"/>
  <c r="Q33" i="18"/>
  <c r="R44" i="18"/>
  <c r="T136" i="18"/>
  <c r="U161" i="18"/>
  <c r="R26" i="18"/>
  <c r="U35" i="18"/>
  <c r="U117" i="18"/>
  <c r="R174" i="18"/>
  <c r="S158" i="18"/>
  <c r="O158" i="18" s="1"/>
  <c r="S82" i="18"/>
  <c r="O82" i="18" s="1"/>
  <c r="U145" i="18"/>
  <c r="S35" i="18"/>
  <c r="O35" i="18" s="1"/>
  <c r="U37" i="18"/>
  <c r="S41" i="18"/>
  <c r="O41" i="18" s="1"/>
  <c r="T82" i="18"/>
  <c r="Q19" i="18"/>
  <c r="S105" i="18"/>
  <c r="O105" i="18" s="1"/>
  <c r="Q199" i="18"/>
  <c r="R200" i="18"/>
  <c r="S49" i="18"/>
  <c r="O49" i="18" s="1"/>
  <c r="Q111" i="18"/>
  <c r="U116" i="18"/>
  <c r="I280" i="7" l="1"/>
  <c r="Y280" i="7"/>
  <c r="V279" i="7"/>
  <c r="H76" i="1"/>
  <c r="K76" i="1" l="1"/>
  <c r="H138" i="1"/>
  <c r="H139" i="1" s="1"/>
  <c r="Y279" i="7"/>
  <c r="Y307" i="7" s="1"/>
  <c r="V307" i="7"/>
  <c r="Y17" i="1" s="1"/>
  <c r="Y18" i="1" s="1"/>
  <c r="J280" i="7"/>
  <c r="J279" i="7" s="1"/>
  <c r="I279" i="7"/>
  <c r="M103" i="1" l="1"/>
  <c r="A103" i="1"/>
  <c r="N103" i="1"/>
  <c r="A110" i="1"/>
  <c r="N110" i="1"/>
  <c r="M110" i="1"/>
  <c r="A80" i="1"/>
  <c r="N80" i="1"/>
  <c r="M80" i="1"/>
  <c r="N79" i="1"/>
  <c r="A79" i="1"/>
  <c r="M79" i="1"/>
  <c r="N77" i="1"/>
  <c r="A77" i="1"/>
  <c r="M77" i="1"/>
  <c r="M13" i="5"/>
  <c r="M17" i="5" s="1"/>
  <c r="I307" i="7"/>
  <c r="J307" i="7"/>
  <c r="N13" i="5"/>
  <c r="N17" i="5" s="1"/>
  <c r="M76" i="1"/>
  <c r="A76" i="1"/>
  <c r="N76" i="1"/>
  <c r="F76" i="10" l="1"/>
  <c r="B76" i="10" s="1"/>
  <c r="G78" i="10"/>
  <c r="F147" i="10"/>
  <c r="B147" i="10" s="1"/>
  <c r="D6" i="10"/>
  <c r="G29" i="10"/>
  <c r="D76" i="10"/>
  <c r="G86" i="10"/>
  <c r="D13" i="10"/>
  <c r="E135" i="10"/>
  <c r="F29" i="10"/>
  <c r="B29" i="10" s="1"/>
  <c r="E101" i="10"/>
  <c r="G65" i="10"/>
  <c r="D21" i="10"/>
  <c r="E155" i="10"/>
  <c r="G6" i="10"/>
  <c r="D146" i="10"/>
  <c r="D113" i="10"/>
  <c r="H144" i="10"/>
  <c r="H62" i="10"/>
  <c r="G130" i="10"/>
  <c r="E143" i="10"/>
  <c r="G100" i="10"/>
  <c r="H160" i="10"/>
  <c r="D65" i="10"/>
  <c r="G92" i="10"/>
  <c r="D60" i="10"/>
  <c r="H146" i="10"/>
  <c r="F146" i="10"/>
  <c r="B146" i="10" s="1"/>
  <c r="G93" i="10"/>
  <c r="D111" i="10"/>
  <c r="E133" i="10"/>
  <c r="H64" i="10"/>
  <c r="F119" i="10"/>
  <c r="B119" i="10" s="1"/>
  <c r="F137" i="10"/>
  <c r="B137" i="10" s="1"/>
  <c r="H118" i="10"/>
  <c r="H142" i="10"/>
  <c r="F5" i="10"/>
  <c r="B5" i="10" s="1"/>
  <c r="F141" i="10"/>
  <c r="B141" i="10" s="1"/>
  <c r="G164" i="10"/>
  <c r="H85" i="10"/>
  <c r="F164" i="10"/>
  <c r="B164" i="10" s="1"/>
  <c r="G118" i="10"/>
  <c r="E142" i="10"/>
  <c r="E131" i="10"/>
  <c r="G72" i="10"/>
  <c r="G32" i="10"/>
  <c r="E149" i="10"/>
  <c r="D159" i="10"/>
  <c r="G91" i="10"/>
  <c r="G15" i="10"/>
  <c r="D95" i="10"/>
  <c r="G25" i="10"/>
  <c r="H7" i="10"/>
  <c r="D14" i="10"/>
  <c r="G39" i="10"/>
  <c r="D78" i="10"/>
  <c r="G131" i="10"/>
  <c r="G82" i="10"/>
  <c r="H110" i="10"/>
  <c r="G143" i="10"/>
  <c r="D5" i="10"/>
  <c r="E113" i="10"/>
  <c r="H159" i="10"/>
  <c r="F75" i="10"/>
  <c r="B75" i="10" s="1"/>
  <c r="H164" i="10"/>
  <c r="D8" i="10"/>
  <c r="F7" i="10"/>
  <c r="B7" i="10" s="1"/>
  <c r="G52" i="10"/>
  <c r="E84" i="10"/>
  <c r="H27" i="10"/>
  <c r="G21" i="10"/>
  <c r="D52" i="10"/>
  <c r="F72" i="10"/>
  <c r="B72" i="10" s="1"/>
  <c r="G138" i="10"/>
  <c r="F131" i="10"/>
  <c r="B131" i="10" s="1"/>
  <c r="G40" i="10"/>
  <c r="F117" i="10"/>
  <c r="B117" i="10" s="1"/>
  <c r="G98" i="10"/>
  <c r="F132" i="10"/>
  <c r="B132" i="10" s="1"/>
  <c r="D20" i="10"/>
  <c r="H47" i="10"/>
  <c r="H13" i="10"/>
  <c r="E160" i="10"/>
  <c r="F14" i="10"/>
  <c r="B14" i="10" s="1"/>
  <c r="G112" i="10"/>
  <c r="E164" i="10"/>
  <c r="F4" i="10"/>
  <c r="B4" i="10" s="1"/>
  <c r="F21" i="10"/>
  <c r="B21" i="10" s="1"/>
  <c r="D120" i="10"/>
  <c r="H132" i="10"/>
  <c r="E151" i="10"/>
  <c r="F139" i="10"/>
  <c r="B139" i="10" s="1"/>
  <c r="D42" i="10"/>
  <c r="H39" i="10"/>
  <c r="D69" i="10"/>
  <c r="E87" i="10"/>
  <c r="G61" i="10"/>
  <c r="D66" i="10"/>
  <c r="E120" i="10"/>
  <c r="D131" i="10"/>
  <c r="D143" i="10"/>
  <c r="D139" i="10"/>
  <c r="E137" i="10"/>
  <c r="H156" i="10"/>
  <c r="G107" i="10"/>
  <c r="G81" i="10"/>
  <c r="F27" i="10"/>
  <c r="B27" i="10" s="1"/>
  <c r="D71" i="10"/>
  <c r="H124" i="10"/>
  <c r="E159" i="10"/>
  <c r="F84" i="10"/>
  <c r="B84" i="10" s="1"/>
  <c r="F66" i="10"/>
  <c r="B66" i="10" s="1"/>
  <c r="D37" i="10"/>
  <c r="G41" i="10"/>
  <c r="E51" i="10"/>
  <c r="E150" i="10"/>
  <c r="E85" i="10"/>
  <c r="G75" i="10"/>
  <c r="G104" i="10"/>
  <c r="H158" i="10"/>
  <c r="D58" i="10"/>
  <c r="D51" i="10"/>
  <c r="D41" i="10"/>
  <c r="F103" i="10"/>
  <c r="B103" i="10" s="1"/>
  <c r="G70" i="10"/>
  <c r="E36" i="10"/>
  <c r="E123" i="10"/>
  <c r="G154" i="10"/>
  <c r="F162" i="10"/>
  <c r="B162" i="10" s="1"/>
  <c r="F28" i="10"/>
  <c r="B28" i="10" s="1"/>
  <c r="H135" i="10"/>
  <c r="F52" i="10"/>
  <c r="B52" i="10" s="1"/>
  <c r="H136" i="10"/>
  <c r="E161" i="10"/>
  <c r="H130" i="10"/>
  <c r="D144" i="10"/>
  <c r="F86" i="10"/>
  <c r="B86" i="10" s="1"/>
  <c r="E99" i="10"/>
  <c r="F128" i="10"/>
  <c r="B128" i="10" s="1"/>
  <c r="D115" i="10"/>
  <c r="D38" i="10"/>
  <c r="F46" i="10"/>
  <c r="B46" i="10" s="1"/>
  <c r="H113" i="10"/>
  <c r="D91" i="10"/>
  <c r="G136" i="10"/>
  <c r="G36" i="10"/>
  <c r="E32" i="10"/>
  <c r="F130" i="10"/>
  <c r="B130" i="10" s="1"/>
  <c r="F111" i="10"/>
  <c r="B111" i="10" s="1"/>
  <c r="E158" i="10"/>
  <c r="E19" i="10"/>
  <c r="F33" i="10"/>
  <c r="B33" i="10" s="1"/>
  <c r="D22" i="10"/>
  <c r="H43" i="10"/>
  <c r="F15" i="10"/>
  <c r="B15" i="10" s="1"/>
  <c r="E163" i="10"/>
  <c r="D55" i="10"/>
  <c r="F38" i="10"/>
  <c r="B38" i="10" s="1"/>
  <c r="G149" i="10"/>
  <c r="G44" i="10"/>
  <c r="E122" i="10"/>
  <c r="G76" i="10"/>
  <c r="G108" i="10"/>
  <c r="F150" i="10"/>
  <c r="B150" i="10" s="1"/>
  <c r="E22" i="10"/>
  <c r="E138" i="10"/>
  <c r="F71" i="10"/>
  <c r="B71" i="10" s="1"/>
  <c r="H147" i="10"/>
  <c r="F53" i="10"/>
  <c r="B53" i="10" s="1"/>
  <c r="D68" i="10"/>
  <c r="H117" i="10"/>
  <c r="F20" i="10"/>
  <c r="B20" i="10" s="1"/>
  <c r="F68" i="10"/>
  <c r="B68" i="10" s="1"/>
  <c r="G77" i="10"/>
  <c r="G119" i="10"/>
  <c r="F161" i="10"/>
  <c r="B161" i="10" s="1"/>
  <c r="D72" i="10"/>
  <c r="F12" i="10"/>
  <c r="B12" i="10" s="1"/>
  <c r="D45" i="10"/>
  <c r="H121" i="10"/>
  <c r="E18" i="10"/>
  <c r="F152" i="10"/>
  <c r="B152" i="10" s="1"/>
  <c r="F157" i="10"/>
  <c r="B157" i="10" s="1"/>
  <c r="F112" i="10"/>
  <c r="B112" i="10" s="1"/>
  <c r="D59" i="10"/>
  <c r="H70" i="10"/>
  <c r="G121" i="10"/>
  <c r="G87" i="10"/>
  <c r="F74" i="10"/>
  <c r="B74" i="10" s="1"/>
  <c r="F61" i="10"/>
  <c r="B61" i="10" s="1"/>
  <c r="G31" i="10"/>
  <c r="G42" i="10"/>
  <c r="G28" i="10"/>
  <c r="G135" i="10"/>
  <c r="E144" i="10"/>
  <c r="F98" i="10"/>
  <c r="B98" i="10" s="1"/>
  <c r="G17" i="10"/>
  <c r="G123" i="10"/>
  <c r="F142" i="10"/>
  <c r="B142" i="10" s="1"/>
  <c r="F140" i="10"/>
  <c r="B140" i="10" s="1"/>
  <c r="D57" i="10"/>
  <c r="D154" i="10"/>
  <c r="H131" i="10"/>
  <c r="D24" i="10"/>
  <c r="E140" i="10"/>
  <c r="H97" i="10"/>
  <c r="H73" i="10"/>
  <c r="D106" i="10"/>
  <c r="F51" i="10"/>
  <c r="B51" i="10" s="1"/>
  <c r="G99" i="10"/>
  <c r="D103" i="10"/>
  <c r="H141" i="10"/>
  <c r="E75" i="10"/>
  <c r="F18" i="10"/>
  <c r="B18" i="10" s="1"/>
  <c r="F59" i="10"/>
  <c r="B59" i="10" s="1"/>
  <c r="F88" i="10"/>
  <c r="B88" i="10" s="1"/>
  <c r="F19" i="10"/>
  <c r="B19" i="10" s="1"/>
  <c r="D147" i="10"/>
  <c r="D7" i="10"/>
  <c r="D61" i="10"/>
  <c r="F89" i="10"/>
  <c r="B89" i="10" s="1"/>
  <c r="H69" i="10"/>
  <c r="H22" i="10"/>
  <c r="H42" i="10"/>
  <c r="D36" i="10"/>
  <c r="G3" i="10"/>
  <c r="F36" i="10"/>
  <c r="B36" i="10" s="1"/>
  <c r="H157" i="10"/>
  <c r="E117" i="10"/>
  <c r="G33" i="10"/>
  <c r="G85" i="10"/>
  <c r="F10" i="10"/>
  <c r="B10" i="10" s="1"/>
  <c r="D102" i="10"/>
  <c r="D145" i="10"/>
  <c r="H154" i="10"/>
  <c r="G23" i="10"/>
  <c r="G13" i="10"/>
  <c r="G35" i="10"/>
  <c r="H120" i="10"/>
  <c r="D87" i="10"/>
  <c r="F124" i="10"/>
  <c r="B124" i="10" s="1"/>
  <c r="H18" i="10"/>
  <c r="H58" i="10"/>
  <c r="F3" i="10"/>
  <c r="B3" i="10" s="1"/>
  <c r="G129" i="10"/>
  <c r="E148" i="10"/>
  <c r="D129" i="10"/>
  <c r="F47" i="10"/>
  <c r="B47" i="10" s="1"/>
  <c r="F13" i="10"/>
  <c r="B13" i="10" s="1"/>
  <c r="G49" i="10"/>
  <c r="F49" i="10"/>
  <c r="B49" i="10" s="1"/>
  <c r="G56" i="10"/>
  <c r="H80" i="10"/>
  <c r="G53" i="10"/>
  <c r="G19" i="10"/>
  <c r="F114" i="10"/>
  <c r="B114" i="10" s="1"/>
  <c r="G157" i="10"/>
  <c r="G22" i="10"/>
  <c r="F56" i="10"/>
  <c r="B56" i="10" s="1"/>
  <c r="D148" i="10"/>
  <c r="G84" i="10"/>
  <c r="E128" i="10"/>
  <c r="E8" i="10"/>
  <c r="E72" i="10"/>
  <c r="F94" i="10"/>
  <c r="B94" i="10" s="1"/>
  <c r="F109" i="10"/>
  <c r="B109" i="10" s="1"/>
  <c r="D108" i="10"/>
  <c r="E111" i="10"/>
  <c r="D64" i="10"/>
  <c r="D15" i="10"/>
  <c r="G69" i="10"/>
  <c r="E109" i="10"/>
  <c r="F163" i="10"/>
  <c r="B163" i="10" s="1"/>
  <c r="G26" i="10"/>
  <c r="F42" i="10"/>
  <c r="B42" i="10" s="1"/>
  <c r="D17" i="10"/>
  <c r="F118" i="10"/>
  <c r="B118" i="10" s="1"/>
  <c r="F90" i="10"/>
  <c r="B90" i="10" s="1"/>
  <c r="G155" i="10"/>
  <c r="D98" i="10"/>
  <c r="E41" i="10"/>
  <c r="D81" i="10"/>
  <c r="D10" i="10"/>
  <c r="H40" i="10"/>
  <c r="H30" i="10"/>
  <c r="H155" i="10"/>
  <c r="F159" i="10"/>
  <c r="B159" i="10" s="1"/>
  <c r="F125" i="10"/>
  <c r="B125" i="10" s="1"/>
  <c r="F106" i="10"/>
  <c r="B106" i="10" s="1"/>
  <c r="F43" i="10"/>
  <c r="B43" i="10" s="1"/>
  <c r="F95" i="10"/>
  <c r="B95" i="10" s="1"/>
  <c r="H161" i="10"/>
  <c r="G45" i="10"/>
  <c r="G114" i="10"/>
  <c r="D157" i="10"/>
  <c r="G9" i="10"/>
  <c r="F77" i="10"/>
  <c r="B77" i="10" s="1"/>
  <c r="D18" i="10"/>
  <c r="F30" i="10"/>
  <c r="B30" i="10" s="1"/>
  <c r="D92" i="10"/>
  <c r="E103" i="10"/>
  <c r="F54" i="10"/>
  <c r="B54" i="10" s="1"/>
  <c r="D150" i="10"/>
  <c r="E136" i="10"/>
  <c r="D163" i="10"/>
  <c r="F48" i="10"/>
  <c r="B48" i="10" s="1"/>
  <c r="F31" i="10"/>
  <c r="B31" i="10" s="1"/>
  <c r="H152" i="10"/>
  <c r="F156" i="10"/>
  <c r="B156" i="10" s="1"/>
  <c r="F107" i="10"/>
  <c r="B107" i="10" s="1"/>
  <c r="D107" i="10"/>
  <c r="H68" i="10"/>
  <c r="H9" i="10"/>
  <c r="E154" i="10"/>
  <c r="G59" i="10"/>
  <c r="F82" i="10"/>
  <c r="B82" i="10" s="1"/>
  <c r="E118" i="10"/>
  <c r="E24" i="10"/>
  <c r="F69" i="10"/>
  <c r="B69" i="10" s="1"/>
  <c r="D124" i="10"/>
  <c r="D35" i="10"/>
  <c r="G95" i="10"/>
  <c r="H53" i="10"/>
  <c r="E21" i="10"/>
  <c r="H75" i="10"/>
  <c r="H31" i="10"/>
  <c r="E93" i="10"/>
  <c r="E38" i="10"/>
  <c r="D31" i="10"/>
  <c r="G79" i="10"/>
  <c r="H95" i="10"/>
  <c r="D127" i="10"/>
  <c r="F55" i="10"/>
  <c r="B55" i="10" s="1"/>
  <c r="F136" i="10"/>
  <c r="B136" i="10" s="1"/>
  <c r="H55" i="10"/>
  <c r="F25" i="10"/>
  <c r="B25" i="10" s="1"/>
  <c r="G48" i="10"/>
  <c r="H163" i="10"/>
  <c r="D62" i="10"/>
  <c r="H8" i="10"/>
  <c r="H93" i="10"/>
  <c r="E55" i="10"/>
  <c r="G14" i="10"/>
  <c r="E130" i="10"/>
  <c r="D11" i="10"/>
  <c r="F11" i="10"/>
  <c r="B11" i="10" s="1"/>
  <c r="G66" i="10"/>
  <c r="E145" i="10"/>
  <c r="H143" i="10"/>
  <c r="D83" i="10"/>
  <c r="F78" i="10"/>
  <c r="B78" i="10" s="1"/>
  <c r="G10" i="10"/>
  <c r="E78" i="10"/>
  <c r="E4" i="10"/>
  <c r="D88" i="10"/>
  <c r="G144" i="10"/>
  <c r="H119" i="10"/>
  <c r="F148" i="10"/>
  <c r="B148" i="10" s="1"/>
  <c r="F87" i="10"/>
  <c r="B87" i="10" s="1"/>
  <c r="G113" i="10"/>
  <c r="F44" i="10"/>
  <c r="B44" i="10" s="1"/>
  <c r="D137" i="10"/>
  <c r="G46" i="10"/>
  <c r="F85" i="10"/>
  <c r="B85" i="10" s="1"/>
  <c r="H21" i="10"/>
  <c r="E83" i="10"/>
  <c r="H83" i="10"/>
  <c r="E94" i="10"/>
  <c r="E60" i="10"/>
  <c r="E16" i="10"/>
  <c r="D85" i="10"/>
  <c r="G7" i="10"/>
  <c r="D164" i="10"/>
  <c r="G38" i="10"/>
  <c r="G132" i="10"/>
  <c r="E119" i="10"/>
  <c r="F40" i="10"/>
  <c r="B40" i="10" s="1"/>
  <c r="E162" i="10"/>
  <c r="H116" i="10"/>
  <c r="D32" i="10"/>
  <c r="F23" i="10"/>
  <c r="B23" i="10" s="1"/>
  <c r="H137" i="10"/>
  <c r="E25" i="10"/>
  <c r="H11" i="10"/>
  <c r="G50" i="10"/>
  <c r="G68" i="10"/>
  <c r="H145" i="10"/>
  <c r="E124" i="10"/>
  <c r="D43" i="10"/>
  <c r="D75" i="10"/>
  <c r="D50" i="10"/>
  <c r="F64" i="10"/>
  <c r="B64" i="10" s="1"/>
  <c r="D4" i="10"/>
  <c r="H88" i="10"/>
  <c r="H129" i="10"/>
  <c r="D70" i="10"/>
  <c r="D56" i="10"/>
  <c r="F102" i="10"/>
  <c r="B102" i="10" s="1"/>
  <c r="D118" i="10"/>
  <c r="E127" i="10"/>
  <c r="D84" i="10"/>
  <c r="G20" i="10"/>
  <c r="G127" i="10"/>
  <c r="E98" i="10"/>
  <c r="H60" i="10"/>
  <c r="H46" i="10"/>
  <c r="E53" i="10"/>
  <c r="E26" i="10"/>
  <c r="E71" i="10"/>
  <c r="H50" i="10"/>
  <c r="G117" i="10"/>
  <c r="D86" i="10"/>
  <c r="D116" i="10"/>
  <c r="G16" i="10"/>
  <c r="E129" i="10"/>
  <c r="D100" i="10"/>
  <c r="F155" i="10"/>
  <c r="B155" i="10" s="1"/>
  <c r="G126" i="10"/>
  <c r="F92" i="10"/>
  <c r="B92" i="10" s="1"/>
  <c r="E34" i="10"/>
  <c r="F96" i="10"/>
  <c r="B96" i="10" s="1"/>
  <c r="G8" i="10"/>
  <c r="H65" i="10"/>
  <c r="E105" i="10"/>
  <c r="F16" i="10"/>
  <c r="B16" i="10" s="1"/>
  <c r="H123" i="10"/>
  <c r="G73" i="10"/>
  <c r="F133" i="10"/>
  <c r="B133" i="10" s="1"/>
  <c r="G57" i="10"/>
  <c r="F101" i="10"/>
  <c r="B101" i="10" s="1"/>
  <c r="E157" i="10"/>
  <c r="G18" i="10"/>
  <c r="H94" i="10"/>
  <c r="G111" i="10"/>
  <c r="H34" i="10"/>
  <c r="H82" i="10"/>
  <c r="D158" i="10"/>
  <c r="D49" i="10"/>
  <c r="F45" i="10"/>
  <c r="B45" i="10" s="1"/>
  <c r="F145" i="10"/>
  <c r="B145" i="10" s="1"/>
  <c r="H112" i="10"/>
  <c r="F158" i="10"/>
  <c r="B158" i="10" s="1"/>
  <c r="D155" i="10"/>
  <c r="H162" i="10"/>
  <c r="F39" i="10"/>
  <c r="B39" i="10" s="1"/>
  <c r="G128" i="10"/>
  <c r="H61" i="10"/>
  <c r="H25" i="10"/>
  <c r="E15" i="10"/>
  <c r="H44" i="10"/>
  <c r="E7" i="10"/>
  <c r="H92" i="10"/>
  <c r="F105" i="10"/>
  <c r="B105" i="10" s="1"/>
  <c r="D105" i="10"/>
  <c r="D48" i="10"/>
  <c r="F9" i="10"/>
  <c r="B9" i="10" s="1"/>
  <c r="E141" i="10"/>
  <c r="E73" i="10"/>
  <c r="G158" i="10"/>
  <c r="H127" i="10"/>
  <c r="G122" i="10"/>
  <c r="H99" i="10"/>
  <c r="D89" i="10"/>
  <c r="D9" i="10"/>
  <c r="H107" i="10"/>
  <c r="H108" i="10"/>
  <c r="G60" i="10"/>
  <c r="F79" i="10"/>
  <c r="B79" i="10" s="1"/>
  <c r="F24" i="10"/>
  <c r="B24" i="10" s="1"/>
  <c r="G137" i="10"/>
  <c r="G142" i="10"/>
  <c r="G83" i="10"/>
  <c r="G162" i="10"/>
  <c r="H5" i="10"/>
  <c r="G55" i="10"/>
  <c r="D130" i="10"/>
  <c r="E132" i="10"/>
  <c r="H16" i="10"/>
  <c r="H74" i="10"/>
  <c r="G58" i="10"/>
  <c r="D28" i="10"/>
  <c r="E121" i="10"/>
  <c r="F91" i="10"/>
  <c r="B91" i="10" s="1"/>
  <c r="H128" i="10"/>
  <c r="F93" i="10"/>
  <c r="B93" i="10" s="1"/>
  <c r="F113" i="10"/>
  <c r="B113" i="10" s="1"/>
  <c r="G102" i="10"/>
  <c r="D140" i="10"/>
  <c r="E68" i="10"/>
  <c r="E12" i="10"/>
  <c r="H101" i="10"/>
  <c r="E90" i="10"/>
  <c r="H98" i="10"/>
  <c r="H51" i="10"/>
  <c r="D25" i="10"/>
  <c r="E96" i="10"/>
  <c r="E35" i="10"/>
  <c r="E116" i="10"/>
  <c r="D44" i="10"/>
  <c r="H86" i="10"/>
  <c r="E67" i="10"/>
  <c r="D90" i="10"/>
  <c r="G146" i="10"/>
  <c r="D125" i="10"/>
  <c r="H71" i="10"/>
  <c r="F67" i="10"/>
  <c r="B67" i="10" s="1"/>
  <c r="F127" i="10"/>
  <c r="B127" i="10" s="1"/>
  <c r="E61" i="10"/>
  <c r="E70" i="10"/>
  <c r="G159" i="10"/>
  <c r="G105" i="10"/>
  <c r="G152" i="10"/>
  <c r="E115" i="10"/>
  <c r="G90" i="10"/>
  <c r="F126" i="10"/>
  <c r="B126" i="10" s="1"/>
  <c r="E112" i="10"/>
  <c r="D47" i="10"/>
  <c r="G89" i="10"/>
  <c r="F116" i="10"/>
  <c r="B116" i="10" s="1"/>
  <c r="H28" i="10"/>
  <c r="H77" i="10"/>
  <c r="G141" i="10"/>
  <c r="F6" i="10"/>
  <c r="B6" i="10" s="1"/>
  <c r="G97" i="10"/>
  <c r="F134" i="10"/>
  <c r="B134" i="10" s="1"/>
  <c r="D40" i="10"/>
  <c r="F135" i="10"/>
  <c r="B135" i="10" s="1"/>
  <c r="D80" i="10"/>
  <c r="H109" i="10"/>
  <c r="G88" i="10"/>
  <c r="E47" i="10"/>
  <c r="H10" i="10"/>
  <c r="H67" i="10"/>
  <c r="H3" i="10"/>
  <c r="H103" i="10"/>
  <c r="H38" i="10"/>
  <c r="H33" i="10"/>
  <c r="F138" i="10"/>
  <c r="B138" i="10" s="1"/>
  <c r="H36" i="10"/>
  <c r="D16" i="10"/>
  <c r="G151" i="10"/>
  <c r="D110" i="10"/>
  <c r="E88" i="10"/>
  <c r="D114" i="10"/>
  <c r="D141" i="10"/>
  <c r="H23" i="10"/>
  <c r="E104" i="10"/>
  <c r="H150" i="10"/>
  <c r="G160" i="10"/>
  <c r="H24" i="10"/>
  <c r="H14" i="10"/>
  <c r="G27" i="10"/>
  <c r="H125" i="10"/>
  <c r="D19" i="10"/>
  <c r="G101" i="10"/>
  <c r="E147" i="10"/>
  <c r="H32" i="10"/>
  <c r="F8" i="10"/>
  <c r="B8" i="10" s="1"/>
  <c r="F97" i="10"/>
  <c r="B97" i="10" s="1"/>
  <c r="G74" i="10"/>
  <c r="H29" i="10"/>
  <c r="D77" i="10"/>
  <c r="E86" i="10"/>
  <c r="E5" i="10"/>
  <c r="F26" i="10"/>
  <c r="B26" i="10" s="1"/>
  <c r="G30" i="10"/>
  <c r="E152" i="10"/>
  <c r="E125" i="10"/>
  <c r="G124" i="10"/>
  <c r="D46" i="10"/>
  <c r="G150" i="10"/>
  <c r="H102" i="10"/>
  <c r="F122" i="10"/>
  <c r="B122" i="10" s="1"/>
  <c r="E43" i="10"/>
  <c r="E81" i="10"/>
  <c r="E20" i="10"/>
  <c r="E59" i="10"/>
  <c r="H72" i="10"/>
  <c r="E23" i="10"/>
  <c r="D126" i="10"/>
  <c r="G134" i="10"/>
  <c r="H19" i="10"/>
  <c r="H111" i="10"/>
  <c r="G11" i="10"/>
  <c r="G140" i="10"/>
  <c r="E97" i="10"/>
  <c r="F151" i="10"/>
  <c r="B151" i="10" s="1"/>
  <c r="F160" i="10"/>
  <c r="B160" i="10" s="1"/>
  <c r="D54" i="10"/>
  <c r="D63" i="10"/>
  <c r="D153" i="10"/>
  <c r="E126" i="10"/>
  <c r="E39" i="10"/>
  <c r="H90" i="10"/>
  <c r="F154" i="10"/>
  <c r="B154" i="10" s="1"/>
  <c r="D152" i="10"/>
  <c r="D3" i="10"/>
  <c r="G47" i="10"/>
  <c r="D79" i="10"/>
  <c r="F108" i="10"/>
  <c r="B108" i="10" s="1"/>
  <c r="G145" i="10"/>
  <c r="F35" i="10"/>
  <c r="B35" i="10" s="1"/>
  <c r="H114" i="10"/>
  <c r="E33" i="10"/>
  <c r="H91" i="10"/>
  <c r="E74" i="10"/>
  <c r="G37" i="10"/>
  <c r="G115" i="10"/>
  <c r="D162" i="10"/>
  <c r="G5" i="10"/>
  <c r="F104" i="10"/>
  <c r="B104" i="10" s="1"/>
  <c r="D12" i="10"/>
  <c r="H12" i="10"/>
  <c r="D97" i="10"/>
  <c r="D39" i="10"/>
  <c r="E57" i="10"/>
  <c r="E62" i="10"/>
  <c r="E65" i="10"/>
  <c r="H66" i="10"/>
  <c r="E79" i="10"/>
  <c r="H48" i="10"/>
  <c r="H139" i="10"/>
  <c r="F63" i="10"/>
  <c r="B63" i="10" s="1"/>
  <c r="H54" i="10"/>
  <c r="D93" i="10"/>
  <c r="D135" i="10"/>
  <c r="F115" i="10"/>
  <c r="B115" i="10" s="1"/>
  <c r="H79" i="10"/>
  <c r="H134" i="10"/>
  <c r="F81" i="10"/>
  <c r="B81" i="10" s="1"/>
  <c r="F143" i="10"/>
  <c r="B143" i="10" s="1"/>
  <c r="F41" i="10"/>
  <c r="B41" i="10" s="1"/>
  <c r="E156" i="10"/>
  <c r="F110" i="10"/>
  <c r="B110" i="10" s="1"/>
  <c r="E40" i="10"/>
  <c r="E54" i="10"/>
  <c r="F123" i="10"/>
  <c r="B123" i="10" s="1"/>
  <c r="G94" i="10"/>
  <c r="D121" i="10"/>
  <c r="G148" i="10"/>
  <c r="H133" i="10"/>
  <c r="D161" i="10"/>
  <c r="G163" i="10"/>
  <c r="F144" i="10"/>
  <c r="B144" i="10" s="1"/>
  <c r="D99" i="10"/>
  <c r="E6" i="10"/>
  <c r="H63" i="10"/>
  <c r="F73" i="10"/>
  <c r="B73" i="10" s="1"/>
  <c r="F121" i="10"/>
  <c r="B121" i="10" s="1"/>
  <c r="E110" i="10"/>
  <c r="F17" i="10"/>
  <c r="B17" i="10" s="1"/>
  <c r="D156" i="10"/>
  <c r="G54" i="10"/>
  <c r="G24" i="10"/>
  <c r="E114" i="10"/>
  <c r="D53" i="10"/>
  <c r="E11" i="10"/>
  <c r="E63" i="10"/>
  <c r="E42" i="10"/>
  <c r="E29" i="10"/>
  <c r="H96" i="10"/>
  <c r="E56" i="10"/>
  <c r="E80" i="10"/>
  <c r="D119" i="10"/>
  <c r="E92" i="10"/>
  <c r="D136" i="10"/>
  <c r="D134" i="10"/>
  <c r="F83" i="10"/>
  <c r="B83" i="10" s="1"/>
  <c r="E27" i="10"/>
  <c r="F34" i="10"/>
  <c r="B34" i="10" s="1"/>
  <c r="G80" i="10"/>
  <c r="E17" i="10"/>
  <c r="H4" i="10"/>
  <c r="F99" i="10"/>
  <c r="B99" i="10" s="1"/>
  <c r="D34" i="10"/>
  <c r="D112" i="10"/>
  <c r="E30" i="10"/>
  <c r="E100" i="10"/>
  <c r="H104" i="10"/>
  <c r="F22" i="10"/>
  <c r="B22" i="10" s="1"/>
  <c r="D101" i="10"/>
  <c r="E66" i="10"/>
  <c r="D30" i="10"/>
  <c r="D138" i="10"/>
  <c r="G139" i="10"/>
  <c r="G103" i="10"/>
  <c r="D133" i="10"/>
  <c r="E95" i="10"/>
  <c r="H105" i="10"/>
  <c r="F100" i="10"/>
  <c r="B100" i="10" s="1"/>
  <c r="H153" i="10"/>
  <c r="D132" i="10"/>
  <c r="H151" i="10"/>
  <c r="G51" i="10"/>
  <c r="G116" i="10"/>
  <c r="D104" i="10"/>
  <c r="H81" i="10"/>
  <c r="G133" i="10"/>
  <c r="F120" i="10"/>
  <c r="B120" i="10" s="1"/>
  <c r="H6" i="10"/>
  <c r="H15" i="10"/>
  <c r="E106" i="10"/>
  <c r="E58" i="10"/>
  <c r="H17" i="10"/>
  <c r="E3" i="10"/>
  <c r="F58" i="10"/>
  <c r="B58" i="10" s="1"/>
  <c r="D73" i="10"/>
  <c r="H106" i="10"/>
  <c r="G125" i="10"/>
  <c r="D82" i="10"/>
  <c r="F32" i="10"/>
  <c r="B32" i="10" s="1"/>
  <c r="F50" i="10"/>
  <c r="B50" i="10" s="1"/>
  <c r="H138" i="10"/>
  <c r="F80" i="10"/>
  <c r="B80" i="10" s="1"/>
  <c r="E89" i="10"/>
  <c r="E76" i="10"/>
  <c r="E31" i="10"/>
  <c r="F57" i="10"/>
  <c r="B57" i="10" s="1"/>
  <c r="E10" i="10"/>
  <c r="E49" i="10"/>
  <c r="H41" i="10"/>
  <c r="H52" i="10"/>
  <c r="G156" i="10"/>
  <c r="G96" i="10"/>
  <c r="E14" i="10"/>
  <c r="E69" i="10"/>
  <c r="F62" i="10"/>
  <c r="B62" i="10" s="1"/>
  <c r="E139" i="10"/>
  <c r="D96" i="10"/>
  <c r="G120" i="10"/>
  <c r="E28" i="10"/>
  <c r="H26" i="10"/>
  <c r="F129" i="10"/>
  <c r="B129" i="10" s="1"/>
  <c r="H122" i="10"/>
  <c r="D94" i="10"/>
  <c r="D74" i="10"/>
  <c r="D123" i="10"/>
  <c r="G67" i="10"/>
  <c r="D23" i="10"/>
  <c r="D151" i="10"/>
  <c r="G147" i="10"/>
  <c r="D27" i="10"/>
  <c r="E50" i="10"/>
  <c r="H49" i="10"/>
  <c r="E9" i="10"/>
  <c r="H57" i="10"/>
  <c r="H37" i="10"/>
  <c r="E46" i="10"/>
  <c r="D128" i="10"/>
  <c r="G64" i="10"/>
  <c r="F153" i="10"/>
  <c r="B153" i="10" s="1"/>
  <c r="H115" i="10"/>
  <c r="G63" i="10"/>
  <c r="H89" i="10"/>
  <c r="E153" i="10"/>
  <c r="G4" i="10"/>
  <c r="F70" i="10"/>
  <c r="B70" i="10" s="1"/>
  <c r="H56" i="10"/>
  <c r="E37" i="10"/>
  <c r="E91" i="10"/>
  <c r="E134" i="10"/>
  <c r="D149" i="10"/>
  <c r="E102" i="10"/>
  <c r="G43" i="10"/>
  <c r="G71" i="10"/>
  <c r="D122" i="10"/>
  <c r="E45" i="10"/>
  <c r="F60" i="10"/>
  <c r="B60" i="10" s="1"/>
  <c r="E64" i="10"/>
  <c r="E146" i="10"/>
  <c r="H149" i="10"/>
  <c r="H78" i="10"/>
  <c r="F37" i="10"/>
  <c r="B37" i="10" s="1"/>
  <c r="E107" i="10"/>
  <c r="H35" i="10"/>
  <c r="D33" i="10"/>
  <c r="D160" i="10"/>
  <c r="G153" i="10"/>
  <c r="G34" i="10"/>
  <c r="D117" i="10"/>
  <c r="F65" i="10"/>
  <c r="B65" i="10" s="1"/>
  <c r="D26" i="10"/>
  <c r="G12" i="10"/>
  <c r="G109" i="10"/>
  <c r="D109" i="10"/>
  <c r="H100" i="10"/>
  <c r="H84" i="10"/>
  <c r="E77" i="10"/>
  <c r="H59" i="10"/>
  <c r="H87" i="10"/>
  <c r="H45" i="10"/>
  <c r="E82" i="10"/>
  <c r="E13" i="10"/>
  <c r="G110" i="10"/>
  <c r="H148" i="10"/>
  <c r="G62" i="10"/>
  <c r="E108" i="10"/>
  <c r="H126" i="10"/>
  <c r="G161" i="10"/>
  <c r="D29" i="10"/>
  <c r="E48" i="10"/>
  <c r="F149" i="10"/>
  <c r="B149" i="10" s="1"/>
  <c r="E52" i="10"/>
  <c r="D67" i="10"/>
  <c r="H20" i="10"/>
  <c r="E44" i="10"/>
  <c r="H140" i="10"/>
  <c r="G106" i="10"/>
  <c r="D142" i="10"/>
  <c r="H76" i="10"/>
  <c r="F9" i="4"/>
  <c r="AE100" i="1"/>
  <c r="AG57" i="17" l="1"/>
  <c r="O57" i="17"/>
  <c r="X57" i="17"/>
  <c r="AH50" i="17"/>
  <c r="Y50" i="17"/>
  <c r="Z50" i="17" s="1"/>
  <c r="P50" i="17"/>
  <c r="Q50" i="17" s="1"/>
  <c r="Y40" i="17"/>
  <c r="Z40" i="17" s="1"/>
  <c r="AH40" i="17"/>
  <c r="P40" i="17"/>
  <c r="Q40" i="17" s="1"/>
  <c r="AG50" i="17"/>
  <c r="O50" i="17"/>
  <c r="X50" i="17"/>
  <c r="O42" i="17"/>
  <c r="AG42" i="17"/>
  <c r="X42" i="17"/>
  <c r="Y42" i="17"/>
  <c r="Z42" i="17" s="1"/>
  <c r="AH42" i="17"/>
  <c r="P42" i="17"/>
  <c r="Q42" i="17" s="1"/>
  <c r="X15" i="17"/>
  <c r="O15" i="17"/>
  <c r="AG15" i="17"/>
  <c r="O63" i="17"/>
  <c r="AG63" i="17"/>
  <c r="X63" i="17"/>
  <c r="AH109" i="17"/>
  <c r="Y109" i="17"/>
  <c r="Z109" i="17" s="1"/>
  <c r="P109" i="17"/>
  <c r="Q109" i="17" s="1"/>
  <c r="O85" i="17"/>
  <c r="X85" i="17"/>
  <c r="AG85" i="17"/>
  <c r="Y68" i="17"/>
  <c r="Z68" i="17" s="1"/>
  <c r="P68" i="17"/>
  <c r="Q68" i="17" s="1"/>
  <c r="AH68" i="17"/>
  <c r="P71" i="17"/>
  <c r="Q71" i="17" s="1"/>
  <c r="Y71" i="17"/>
  <c r="Z71" i="17" s="1"/>
  <c r="AH71" i="17"/>
  <c r="O86" i="17"/>
  <c r="AG86" i="17"/>
  <c r="X86" i="17"/>
  <c r="AG91" i="17"/>
  <c r="O91" i="17"/>
  <c r="X91" i="17"/>
  <c r="AH19" i="17"/>
  <c r="Y19" i="17"/>
  <c r="Z19" i="17" s="1"/>
  <c r="P19" i="17"/>
  <c r="Q19" i="17" s="1"/>
  <c r="O93" i="17"/>
  <c r="X93" i="17"/>
  <c r="AG93" i="17"/>
  <c r="AH108" i="17"/>
  <c r="Y108" i="17"/>
  <c r="Z108" i="17" s="1"/>
  <c r="P108" i="17"/>
  <c r="Q108" i="17" s="1"/>
  <c r="AH79" i="17"/>
  <c r="Y79" i="17"/>
  <c r="Z79" i="17" s="1"/>
  <c r="P79" i="17"/>
  <c r="Q79" i="17" s="1"/>
  <c r="AG12" i="17"/>
  <c r="O12" i="17"/>
  <c r="X12" i="17"/>
  <c r="Y39" i="17"/>
  <c r="Z39" i="17" s="1"/>
  <c r="AH39" i="17"/>
  <c r="P39" i="17"/>
  <c r="Q39" i="17" s="1"/>
  <c r="O30" i="17"/>
  <c r="X30" i="17"/>
  <c r="AG30" i="17"/>
  <c r="P100" i="17"/>
  <c r="Q100" i="17" s="1"/>
  <c r="Y100" i="17"/>
  <c r="Z100" i="17" s="1"/>
  <c r="AH100" i="17"/>
  <c r="AG98" i="17"/>
  <c r="X98" i="17"/>
  <c r="O98" i="17"/>
  <c r="AG13" i="17"/>
  <c r="O13" i="17"/>
  <c r="X13" i="17"/>
  <c r="P63" i="17"/>
  <c r="Q63" i="17" s="1"/>
  <c r="AH63" i="17"/>
  <c r="Y63" i="17"/>
  <c r="Z63" i="17" s="1"/>
  <c r="AH27" i="17"/>
  <c r="Y27" i="17"/>
  <c r="Z27" i="17" s="1"/>
  <c r="P27" i="17"/>
  <c r="Q27" i="17" s="1"/>
  <c r="P78" i="17"/>
  <c r="Q78" i="17" s="1"/>
  <c r="Y78" i="17"/>
  <c r="Z78" i="17" s="1"/>
  <c r="AH78" i="17"/>
  <c r="AG24" i="17"/>
  <c r="O24" i="17"/>
  <c r="X24" i="17"/>
  <c r="AG49" i="17"/>
  <c r="X49" i="17"/>
  <c r="O49" i="17"/>
  <c r="AH92" i="17"/>
  <c r="Y92" i="17"/>
  <c r="Z92" i="17" s="1"/>
  <c r="P92" i="17"/>
  <c r="Q92" i="17" s="1"/>
  <c r="AG112" i="17"/>
  <c r="O112" i="17"/>
  <c r="X112" i="17"/>
  <c r="P94" i="17"/>
  <c r="Q94" i="17" s="1"/>
  <c r="AH94" i="17"/>
  <c r="Y94" i="17"/>
  <c r="Z94" i="17" s="1"/>
  <c r="AG74" i="17"/>
  <c r="O74" i="17"/>
  <c r="X74" i="17"/>
  <c r="O68" i="17"/>
  <c r="X68" i="17"/>
  <c r="AG68" i="17"/>
  <c r="P24" i="17"/>
  <c r="Q24" i="17" s="1"/>
  <c r="AH24" i="17"/>
  <c r="Y24" i="17"/>
  <c r="Z24" i="17" s="1"/>
  <c r="X48" i="17"/>
  <c r="AG48" i="17"/>
  <c r="O48" i="17"/>
  <c r="Y28" i="17"/>
  <c r="Z28" i="17" s="1"/>
  <c r="P28" i="17"/>
  <c r="Q28" i="17" s="1"/>
  <c r="AH28" i="17"/>
  <c r="Y8" i="17"/>
  <c r="Z8" i="17" s="1"/>
  <c r="AH8" i="17"/>
  <c r="P8" i="17"/>
  <c r="Q8" i="17" s="1"/>
  <c r="Y56" i="17"/>
  <c r="Z56" i="17" s="1"/>
  <c r="P56" i="17"/>
  <c r="Q56" i="17" s="1"/>
  <c r="AH56" i="17"/>
  <c r="AG17" i="17"/>
  <c r="X17" i="17"/>
  <c r="O17" i="17"/>
  <c r="P21" i="17"/>
  <c r="Q21" i="17" s="1"/>
  <c r="Y21" i="17"/>
  <c r="Z21" i="17" s="1"/>
  <c r="AH21" i="17"/>
  <c r="P104" i="17"/>
  <c r="Q104" i="17" s="1"/>
  <c r="AH104" i="17"/>
  <c r="Y104" i="17"/>
  <c r="Z104" i="17" s="1"/>
  <c r="Y49" i="17"/>
  <c r="Z49" i="17" s="1"/>
  <c r="P49" i="17"/>
  <c r="Q49" i="17" s="1"/>
  <c r="AH49" i="17"/>
  <c r="P55" i="17"/>
  <c r="Q55" i="17" s="1"/>
  <c r="AH55" i="17"/>
  <c r="Y55" i="17"/>
  <c r="Z55" i="17" s="1"/>
  <c r="X88" i="17"/>
  <c r="O88" i="17"/>
  <c r="AG88" i="17"/>
  <c r="X9" i="17"/>
  <c r="AG9" i="17"/>
  <c r="O9" i="17"/>
  <c r="X60" i="17"/>
  <c r="AG60" i="17"/>
  <c r="O60" i="17"/>
  <c r="AH23" i="17"/>
  <c r="Y23" i="17"/>
  <c r="Z23" i="17" s="1"/>
  <c r="P23" i="17"/>
  <c r="Q23" i="17" s="1"/>
  <c r="AG87" i="17"/>
  <c r="O87" i="17"/>
  <c r="X87" i="17"/>
  <c r="X82" i="17"/>
  <c r="O82" i="17"/>
  <c r="AG82" i="17"/>
  <c r="AH83" i="17"/>
  <c r="Y83" i="17"/>
  <c r="Z83" i="17" s="1"/>
  <c r="P83" i="17"/>
  <c r="Q83" i="17" s="1"/>
  <c r="X96" i="17"/>
  <c r="AG96" i="17"/>
  <c r="O96" i="17"/>
  <c r="AG51" i="17"/>
  <c r="O51" i="17"/>
  <c r="X51" i="17"/>
  <c r="AH54" i="17"/>
  <c r="P54" i="17"/>
  <c r="Q54" i="17" s="1"/>
  <c r="Y54" i="17"/>
  <c r="Z54" i="17" s="1"/>
  <c r="P31" i="17"/>
  <c r="Q31" i="17" s="1"/>
  <c r="AH31" i="17"/>
  <c r="Y31" i="17"/>
  <c r="Z31" i="17" s="1"/>
  <c r="X54" i="17"/>
  <c r="O54" i="17"/>
  <c r="AG54" i="17"/>
  <c r="O81" i="17"/>
  <c r="X81" i="17"/>
  <c r="AG81" i="17"/>
  <c r="P111" i="17"/>
  <c r="Q111" i="17" s="1"/>
  <c r="AH111" i="17"/>
  <c r="Y111" i="17"/>
  <c r="Z111" i="17" s="1"/>
  <c r="AH22" i="17"/>
  <c r="Y22" i="17"/>
  <c r="Z22" i="17" s="1"/>
  <c r="P22" i="17"/>
  <c r="Q22" i="17" s="1"/>
  <c r="AH11" i="17"/>
  <c r="P11" i="17"/>
  <c r="Q11" i="17" s="1"/>
  <c r="Y11" i="17"/>
  <c r="Z11" i="17" s="1"/>
  <c r="X100" i="17"/>
  <c r="AG100" i="17"/>
  <c r="O100" i="17"/>
  <c r="X22" i="17"/>
  <c r="O22" i="17"/>
  <c r="AG22" i="17"/>
  <c r="O34" i="17"/>
  <c r="X34" i="17"/>
  <c r="AG34" i="17"/>
  <c r="AG59" i="17"/>
  <c r="O59" i="17"/>
  <c r="X59" i="17"/>
  <c r="AH84" i="17"/>
  <c r="Y84" i="17"/>
  <c r="Z84" i="17" s="1"/>
  <c r="P84" i="17"/>
  <c r="Q84" i="17" s="1"/>
  <c r="AH59" i="17"/>
  <c r="P59" i="17"/>
  <c r="Q59" i="17" s="1"/>
  <c r="Y59" i="17"/>
  <c r="Z59" i="17" s="1"/>
  <c r="O84" i="17"/>
  <c r="X84" i="17"/>
  <c r="AG84" i="17"/>
  <c r="O62" i="17"/>
  <c r="AG62" i="17"/>
  <c r="X62" i="17"/>
  <c r="X38" i="17"/>
  <c r="O38" i="17"/>
  <c r="AG38" i="17"/>
  <c r="AG25" i="17"/>
  <c r="X25" i="17"/>
  <c r="O25" i="17"/>
  <c r="P107" i="17"/>
  <c r="Q107" i="17" s="1"/>
  <c r="AH107" i="17"/>
  <c r="Y107" i="17"/>
  <c r="Z107" i="17" s="1"/>
  <c r="X10" i="17"/>
  <c r="O10" i="17"/>
  <c r="AG10" i="17"/>
  <c r="AH43" i="17"/>
  <c r="Y43" i="17"/>
  <c r="Z43" i="17" s="1"/>
  <c r="P43" i="17"/>
  <c r="Q43" i="17" s="1"/>
  <c r="AH15" i="17"/>
  <c r="P15" i="17"/>
  <c r="Q15" i="17" s="1"/>
  <c r="Y15" i="17"/>
  <c r="Z15" i="17" s="1"/>
  <c r="P33" i="17"/>
  <c r="Q33" i="17" s="1"/>
  <c r="AH33" i="17"/>
  <c r="Y33" i="17"/>
  <c r="Z33" i="17" s="1"/>
  <c r="AG66" i="17"/>
  <c r="O66" i="17"/>
  <c r="X66" i="17"/>
  <c r="P91" i="17"/>
  <c r="Q91" i="17" s="1"/>
  <c r="AH91" i="17"/>
  <c r="Y91" i="17"/>
  <c r="Z91" i="17" s="1"/>
  <c r="X101" i="17"/>
  <c r="AG101" i="17"/>
  <c r="O101" i="17"/>
  <c r="O95" i="17"/>
  <c r="AG95" i="17"/>
  <c r="X95" i="17"/>
  <c r="P97" i="17"/>
  <c r="Q97" i="17" s="1"/>
  <c r="AH97" i="17"/>
  <c r="Y97" i="17"/>
  <c r="Z97" i="17" s="1"/>
  <c r="Y30" i="17"/>
  <c r="Z30" i="17" s="1"/>
  <c r="AH30" i="17"/>
  <c r="P30" i="17"/>
  <c r="Q30" i="17" s="1"/>
  <c r="P87" i="17"/>
  <c r="Q87" i="17" s="1"/>
  <c r="Y87" i="17"/>
  <c r="Z87" i="17" s="1"/>
  <c r="AH87" i="17"/>
  <c r="AG110" i="17"/>
  <c r="O110" i="17"/>
  <c r="X110" i="17"/>
  <c r="AG39" i="17"/>
  <c r="O39" i="17"/>
  <c r="X39" i="17"/>
  <c r="AG31" i="17"/>
  <c r="X31" i="17"/>
  <c r="O31" i="17"/>
  <c r="X103" i="17"/>
  <c r="AG103" i="17"/>
  <c r="O103" i="17"/>
  <c r="AH16" i="17"/>
  <c r="P16" i="17"/>
  <c r="Q16" i="17" s="1"/>
  <c r="Y16" i="17"/>
  <c r="Z16" i="17" s="1"/>
  <c r="O99" i="17"/>
  <c r="AG99" i="17"/>
  <c r="X99" i="17"/>
  <c r="Y13" i="17"/>
  <c r="Z13" i="17" s="1"/>
  <c r="AH13" i="17"/>
  <c r="P13" i="17"/>
  <c r="Q13" i="17" s="1"/>
  <c r="AG43" i="17"/>
  <c r="X43" i="17"/>
  <c r="O43" i="17"/>
  <c r="X26" i="17"/>
  <c r="AG26" i="17"/>
  <c r="O26" i="17"/>
  <c r="P73" i="17"/>
  <c r="Q73" i="17" s="1"/>
  <c r="AH73" i="17"/>
  <c r="Y73" i="17"/>
  <c r="Z73" i="17" s="1"/>
  <c r="Y45" i="17"/>
  <c r="Z45" i="17" s="1"/>
  <c r="P45" i="17"/>
  <c r="Q45" i="17" s="1"/>
  <c r="AH45" i="17"/>
  <c r="O77" i="17"/>
  <c r="AG77" i="17"/>
  <c r="X77" i="17"/>
  <c r="Y47" i="17"/>
  <c r="Z47" i="17" s="1"/>
  <c r="P47" i="17"/>
  <c r="Q47" i="17" s="1"/>
  <c r="AH47" i="17"/>
  <c r="AG92" i="17"/>
  <c r="X92" i="17"/>
  <c r="O92" i="17"/>
  <c r="P90" i="17"/>
  <c r="Q90" i="17" s="1"/>
  <c r="AH90" i="17"/>
  <c r="Y90" i="17"/>
  <c r="Z90" i="17" s="1"/>
  <c r="Y69" i="17"/>
  <c r="Z69" i="17" s="1"/>
  <c r="AH69" i="17"/>
  <c r="P69" i="17"/>
  <c r="Q69" i="17" s="1"/>
  <c r="P67" i="17"/>
  <c r="Q67" i="17" s="1"/>
  <c r="AH67" i="17"/>
  <c r="Y67" i="17"/>
  <c r="Z67" i="17" s="1"/>
  <c r="AG106" i="17"/>
  <c r="X106" i="17"/>
  <c r="O106" i="17"/>
  <c r="Y89" i="17"/>
  <c r="Z89" i="17" s="1"/>
  <c r="AH89" i="17"/>
  <c r="P89" i="17"/>
  <c r="Q89" i="17" s="1"/>
  <c r="O107" i="17"/>
  <c r="AG107" i="17"/>
  <c r="X107" i="17"/>
  <c r="X55" i="17"/>
  <c r="AG55" i="17"/>
  <c r="O55" i="17"/>
  <c r="O33" i="17"/>
  <c r="AG33" i="17"/>
  <c r="X33" i="17"/>
  <c r="AG94" i="17"/>
  <c r="X94" i="17"/>
  <c r="O94" i="17"/>
  <c r="O47" i="17"/>
  <c r="X47" i="17"/>
  <c r="AG47" i="17"/>
  <c r="X45" i="17"/>
  <c r="AG45" i="17"/>
  <c r="O45" i="17"/>
  <c r="X28" i="17"/>
  <c r="AG28" i="17"/>
  <c r="O28" i="17"/>
  <c r="X109" i="17"/>
  <c r="AG109" i="17"/>
  <c r="O109" i="17"/>
  <c r="AH41" i="17"/>
  <c r="P41" i="17"/>
  <c r="Q41" i="17" s="1"/>
  <c r="Y41" i="17"/>
  <c r="Z41" i="17" s="1"/>
  <c r="X52" i="17"/>
  <c r="AG52" i="17"/>
  <c r="O52" i="17"/>
  <c r="AH106" i="17"/>
  <c r="Y106" i="17"/>
  <c r="Z106" i="17" s="1"/>
  <c r="P106" i="17"/>
  <c r="Q106" i="17" s="1"/>
  <c r="Y66" i="17"/>
  <c r="Z66" i="17" s="1"/>
  <c r="P66" i="17"/>
  <c r="Q66" i="17" s="1"/>
  <c r="AH66" i="17"/>
  <c r="AH70" i="17"/>
  <c r="P70" i="17"/>
  <c r="Q70" i="17" s="1"/>
  <c r="Y70" i="17"/>
  <c r="Z70" i="17" s="1"/>
  <c r="O58" i="17"/>
  <c r="X58" i="17"/>
  <c r="AG58" i="17"/>
  <c r="AH88" i="17"/>
  <c r="P88" i="17"/>
  <c r="Q88" i="17" s="1"/>
  <c r="Y88" i="17"/>
  <c r="Z88" i="17" s="1"/>
  <c r="AH60" i="17"/>
  <c r="Y60" i="17"/>
  <c r="Z60" i="17" s="1"/>
  <c r="P60" i="17"/>
  <c r="Q60" i="17" s="1"/>
  <c r="AH58" i="17"/>
  <c r="Y58" i="17"/>
  <c r="Z58" i="17" s="1"/>
  <c r="P58" i="17"/>
  <c r="Q58" i="17" s="1"/>
  <c r="AG37" i="17"/>
  <c r="O37" i="17"/>
  <c r="X37" i="17"/>
  <c r="O56" i="17"/>
  <c r="X56" i="17"/>
  <c r="AG56" i="17"/>
  <c r="Y81" i="17"/>
  <c r="Z81" i="17" s="1"/>
  <c r="AH81" i="17"/>
  <c r="P81" i="17"/>
  <c r="Q81" i="17" s="1"/>
  <c r="Y105" i="17"/>
  <c r="Z105" i="17" s="1"/>
  <c r="P105" i="17"/>
  <c r="Q105" i="17" s="1"/>
  <c r="AH105" i="17"/>
  <c r="P61" i="17"/>
  <c r="Q61" i="17" s="1"/>
  <c r="AH61" i="17"/>
  <c r="Y61" i="17"/>
  <c r="Z61" i="17" s="1"/>
  <c r="Y62" i="17"/>
  <c r="Z62" i="17" s="1"/>
  <c r="P62" i="17"/>
  <c r="Q62" i="17" s="1"/>
  <c r="AH62" i="17"/>
  <c r="Y57" i="17"/>
  <c r="Z57" i="17" s="1"/>
  <c r="P57" i="17"/>
  <c r="Q57" i="17" s="1"/>
  <c r="AH57" i="17"/>
  <c r="AG111" i="17"/>
  <c r="X111" i="17"/>
  <c r="O111" i="17"/>
  <c r="O71" i="17"/>
  <c r="AG71" i="17"/>
  <c r="X71" i="17"/>
  <c r="X105" i="17"/>
  <c r="AG105" i="17"/>
  <c r="O105" i="17"/>
  <c r="O61" i="17"/>
  <c r="AG61" i="17"/>
  <c r="X61" i="17"/>
  <c r="X11" i="17"/>
  <c r="AG11" i="17"/>
  <c r="O11" i="17"/>
  <c r="O70" i="17"/>
  <c r="X70" i="17"/>
  <c r="AG70" i="17"/>
  <c r="O79" i="17"/>
  <c r="AG79" i="17"/>
  <c r="X79" i="17"/>
  <c r="AH95" i="17"/>
  <c r="P95" i="17"/>
  <c r="Q95" i="17" s="1"/>
  <c r="Y95" i="17"/>
  <c r="Z95" i="17" s="1"/>
  <c r="O102" i="17"/>
  <c r="AG102" i="17"/>
  <c r="X102" i="17"/>
  <c r="P77" i="17"/>
  <c r="Q77" i="17" s="1"/>
  <c r="AH77" i="17"/>
  <c r="Y77" i="17"/>
  <c r="Z77" i="17" s="1"/>
  <c r="Y29" i="17"/>
  <c r="Z29" i="17" s="1"/>
  <c r="P29" i="17"/>
  <c r="Q29" i="17" s="1"/>
  <c r="AH29" i="17"/>
  <c r="AH10" i="17"/>
  <c r="P10" i="17"/>
  <c r="Q10" i="17" s="1"/>
  <c r="Y10" i="17"/>
  <c r="Z10" i="17" s="1"/>
  <c r="Y113" i="17"/>
  <c r="Z113" i="17" s="1"/>
  <c r="AH113" i="17"/>
  <c r="P113" i="17"/>
  <c r="Q113" i="17" s="1"/>
  <c r="X78" i="17"/>
  <c r="O78" i="17"/>
  <c r="AG78" i="17"/>
  <c r="P51" i="17"/>
  <c r="Q51" i="17" s="1"/>
  <c r="Y51" i="17"/>
  <c r="Z51" i="17" s="1"/>
  <c r="AH51" i="17"/>
  <c r="Y93" i="17"/>
  <c r="Z93" i="17" s="1"/>
  <c r="P93" i="17"/>
  <c r="Q93" i="17" s="1"/>
  <c r="AH93" i="17"/>
  <c r="X21" i="17"/>
  <c r="O21" i="17"/>
  <c r="AG21" i="17"/>
  <c r="Y36" i="17"/>
  <c r="Z36" i="17" s="1"/>
  <c r="P36" i="17"/>
  <c r="Q36" i="17" s="1"/>
  <c r="AH36" i="17"/>
  <c r="O29" i="17"/>
  <c r="AG29" i="17"/>
  <c r="X29" i="17"/>
  <c r="Y74" i="17"/>
  <c r="Z74" i="17" s="1"/>
  <c r="AH74" i="17"/>
  <c r="P74" i="17"/>
  <c r="Q74" i="17" s="1"/>
  <c r="P102" i="17"/>
  <c r="Q102" i="17" s="1"/>
  <c r="Y102" i="17"/>
  <c r="Z102" i="17" s="1"/>
  <c r="AH102" i="17"/>
  <c r="P75" i="17"/>
  <c r="Q75" i="17" s="1"/>
  <c r="Y75" i="17"/>
  <c r="Z75" i="17" s="1"/>
  <c r="AH75" i="17"/>
  <c r="Y48" i="17"/>
  <c r="Z48" i="17" s="1"/>
  <c r="P48" i="17"/>
  <c r="Q48" i="17" s="1"/>
  <c r="AH48" i="17"/>
  <c r="AG104" i="17"/>
  <c r="O104" i="17"/>
  <c r="X104" i="17"/>
  <c r="O41" i="17"/>
  <c r="AG41" i="17"/>
  <c r="X41" i="17"/>
  <c r="Y44" i="17"/>
  <c r="Z44" i="17" s="1"/>
  <c r="P44" i="17"/>
  <c r="Q44" i="17" s="1"/>
  <c r="AH44" i="17"/>
  <c r="P18" i="17"/>
  <c r="Q18" i="17" s="1"/>
  <c r="Y18" i="17"/>
  <c r="Z18" i="17" s="1"/>
  <c r="AH18" i="17"/>
  <c r="Y32" i="17"/>
  <c r="Z32" i="17" s="1"/>
  <c r="P32" i="17"/>
  <c r="Q32" i="17" s="1"/>
  <c r="AH32" i="17"/>
  <c r="P25" i="17"/>
  <c r="Q25" i="17" s="1"/>
  <c r="Y25" i="17"/>
  <c r="Z25" i="17" s="1"/>
  <c r="AH25" i="17"/>
  <c r="X53" i="17"/>
  <c r="O53" i="17"/>
  <c r="AG53" i="17"/>
  <c r="X113" i="17"/>
  <c r="O113" i="17"/>
  <c r="AG113" i="17"/>
  <c r="AG18" i="17"/>
  <c r="O18" i="17"/>
  <c r="X18" i="17"/>
  <c r="P64" i="17"/>
  <c r="Q64" i="17" s="1"/>
  <c r="AH64" i="17"/>
  <c r="Y64" i="17"/>
  <c r="Z64" i="17" s="1"/>
  <c r="O69" i="17"/>
  <c r="X69" i="17"/>
  <c r="AG69" i="17"/>
  <c r="O14" i="17"/>
  <c r="X14" i="17"/>
  <c r="AG14" i="17"/>
  <c r="X19" i="17"/>
  <c r="O19" i="17"/>
  <c r="AG19" i="17"/>
  <c r="Y46" i="17"/>
  <c r="Z46" i="17" s="1"/>
  <c r="P46" i="17"/>
  <c r="Q46" i="17" s="1"/>
  <c r="AH46" i="17"/>
  <c r="AG36" i="17"/>
  <c r="O36" i="17"/>
  <c r="X36" i="17"/>
  <c r="AG8" i="17"/>
  <c r="X8" i="17"/>
  <c r="O8" i="17"/>
  <c r="Y20" i="17"/>
  <c r="Z20" i="17" s="1"/>
  <c r="AH20" i="17"/>
  <c r="P20" i="17"/>
  <c r="Q20" i="17" s="1"/>
  <c r="P86" i="17"/>
  <c r="Q86" i="17" s="1"/>
  <c r="AH86" i="17"/>
  <c r="Y86" i="17"/>
  <c r="Z86" i="17" s="1"/>
  <c r="AH110" i="17"/>
  <c r="Y110" i="17"/>
  <c r="Z110" i="17" s="1"/>
  <c r="P110" i="17"/>
  <c r="Q110" i="17" s="1"/>
  <c r="AG35" i="17"/>
  <c r="O35" i="17"/>
  <c r="X35" i="17"/>
  <c r="AH9" i="17"/>
  <c r="P9" i="17"/>
  <c r="Q9" i="17" s="1"/>
  <c r="Y9" i="17"/>
  <c r="Z9" i="17" s="1"/>
  <c r="AG32" i="17"/>
  <c r="X32" i="17"/>
  <c r="O32" i="17"/>
  <c r="AG97" i="17"/>
  <c r="X97" i="17"/>
  <c r="O97" i="17"/>
  <c r="P101" i="17"/>
  <c r="Q101" i="17" s="1"/>
  <c r="Y101" i="17"/>
  <c r="Z101" i="17" s="1"/>
  <c r="AH101" i="17"/>
  <c r="AG16" i="17"/>
  <c r="X16" i="17"/>
  <c r="O16" i="17"/>
  <c r="Y53" i="17"/>
  <c r="Z53" i="17" s="1"/>
  <c r="AH53" i="17"/>
  <c r="P53" i="17"/>
  <c r="Q53" i="17" s="1"/>
  <c r="X67" i="17"/>
  <c r="AG67" i="17"/>
  <c r="O67" i="17"/>
  <c r="P17" i="17"/>
  <c r="Q17" i="17" s="1"/>
  <c r="Y17" i="17"/>
  <c r="Z17" i="17" s="1"/>
  <c r="AH17" i="17"/>
  <c r="P96" i="17"/>
  <c r="Q96" i="17" s="1"/>
  <c r="AH96" i="17"/>
  <c r="Y96" i="17"/>
  <c r="Z96" i="17" s="1"/>
  <c r="O44" i="17"/>
  <c r="AG44" i="17"/>
  <c r="X44" i="17"/>
  <c r="X64" i="17"/>
  <c r="AG64" i="17"/>
  <c r="O64" i="17"/>
  <c r="P34" i="17"/>
  <c r="Q34" i="17" s="1"/>
  <c r="Y34" i="17"/>
  <c r="Z34" i="17" s="1"/>
  <c r="AH34" i="17"/>
  <c r="Y37" i="17"/>
  <c r="Z37" i="17" s="1"/>
  <c r="P37" i="17"/>
  <c r="Q37" i="17" s="1"/>
  <c r="AH37" i="17"/>
  <c r="Y38" i="17"/>
  <c r="Z38" i="17" s="1"/>
  <c r="AH38" i="17"/>
  <c r="P38" i="17"/>
  <c r="Q38" i="17" s="1"/>
  <c r="Y72" i="17"/>
  <c r="Z72" i="17" s="1"/>
  <c r="P72" i="17"/>
  <c r="Q72" i="17" s="1"/>
  <c r="AH72" i="17"/>
  <c r="Y82" i="17"/>
  <c r="Z82" i="17" s="1"/>
  <c r="P82" i="17"/>
  <c r="Q82" i="17" s="1"/>
  <c r="AH82" i="17"/>
  <c r="AG75" i="17"/>
  <c r="X75" i="17"/>
  <c r="O75" i="17"/>
  <c r="Y76" i="17"/>
  <c r="Z76" i="17" s="1"/>
  <c r="AH76" i="17"/>
  <c r="P76" i="17"/>
  <c r="Q76" i="17" s="1"/>
  <c r="AG72" i="17"/>
  <c r="X72" i="17"/>
  <c r="O72" i="17"/>
  <c r="O40" i="17"/>
  <c r="AG40" i="17"/>
  <c r="X40" i="17"/>
  <c r="AH103" i="17"/>
  <c r="P103" i="17"/>
  <c r="Q103" i="17" s="1"/>
  <c r="Y103" i="17"/>
  <c r="Z103" i="17" s="1"/>
  <c r="AG73" i="17"/>
  <c r="O73" i="17"/>
  <c r="X73" i="17"/>
  <c r="AH112" i="17"/>
  <c r="P112" i="17"/>
  <c r="Q112" i="17" s="1"/>
  <c r="Y112" i="17"/>
  <c r="Z112" i="17" s="1"/>
  <c r="O20" i="17"/>
  <c r="X20" i="17"/>
  <c r="AG20" i="17"/>
  <c r="AH99" i="17"/>
  <c r="P99" i="17"/>
  <c r="Q99" i="17" s="1"/>
  <c r="Y99" i="17"/>
  <c r="Z99" i="17" s="1"/>
  <c r="X76" i="17"/>
  <c r="O76" i="17"/>
  <c r="AG76" i="17"/>
  <c r="AH65" i="17"/>
  <c r="Y65" i="17"/>
  <c r="Z65" i="17" s="1"/>
  <c r="P65" i="17"/>
  <c r="Q65" i="17" s="1"/>
  <c r="X65" i="17"/>
  <c r="O65" i="17"/>
  <c r="AG65" i="17"/>
  <c r="AH26" i="17"/>
  <c r="P26" i="17"/>
  <c r="Q26" i="17" s="1"/>
  <c r="Y26" i="17"/>
  <c r="Z26" i="17" s="1"/>
  <c r="X83" i="17"/>
  <c r="AG83" i="17"/>
  <c r="O83" i="17"/>
  <c r="P98" i="17"/>
  <c r="Q98" i="17" s="1"/>
  <c r="AH98" i="17"/>
  <c r="Y98" i="17"/>
  <c r="Z98" i="17" s="1"/>
  <c r="Y80" i="17"/>
  <c r="Z80" i="17" s="1"/>
  <c r="AH80" i="17"/>
  <c r="P80" i="17"/>
  <c r="Q80" i="17" s="1"/>
  <c r="P14" i="17"/>
  <c r="Q14" i="17" s="1"/>
  <c r="AH14" i="17"/>
  <c r="Y14" i="17"/>
  <c r="Z14" i="17" s="1"/>
  <c r="X108" i="17"/>
  <c r="O108" i="17"/>
  <c r="AG108" i="17"/>
  <c r="P35" i="17"/>
  <c r="Q35" i="17" s="1"/>
  <c r="AH35" i="17"/>
  <c r="Y35" i="17"/>
  <c r="Z35" i="17" s="1"/>
  <c r="AG46" i="17"/>
  <c r="O46" i="17"/>
  <c r="X46" i="17"/>
  <c r="P85" i="17"/>
  <c r="Q85" i="17" s="1"/>
  <c r="Y85" i="17"/>
  <c r="Z85" i="17" s="1"/>
  <c r="AH85" i="17"/>
  <c r="O80" i="17"/>
  <c r="AG80" i="17"/>
  <c r="X80" i="17"/>
  <c r="AG23" i="17"/>
  <c r="X23" i="17"/>
  <c r="O23" i="17"/>
  <c r="AG27" i="17"/>
  <c r="O27" i="17"/>
  <c r="X27" i="17"/>
  <c r="O90" i="17"/>
  <c r="AG90" i="17"/>
  <c r="X90" i="17"/>
  <c r="P52" i="17"/>
  <c r="Q52" i="17" s="1"/>
  <c r="AH52" i="17"/>
  <c r="Y52" i="17"/>
  <c r="Z52" i="17" s="1"/>
  <c r="AG89" i="17"/>
  <c r="X89" i="17"/>
  <c r="O89" i="17"/>
  <c r="Y12" i="17"/>
  <c r="Z12" i="17" s="1"/>
  <c r="AH12" i="17"/>
  <c r="P12" i="17"/>
  <c r="Q12"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이홍섭</author>
  </authors>
  <commentList>
    <comment ref="AF2" authorId="0" shapeId="0" xr:uid="{714D9B62-D40E-4D03-90AD-E9CDD9A64F82}">
      <text>
        <r>
          <rPr>
            <b/>
            <sz val="10"/>
            <color indexed="81"/>
            <rFont val="돋움"/>
            <family val="3"/>
            <charset val="129"/>
          </rPr>
          <t>추경작성인 경우 클릭</t>
        </r>
        <r>
          <rPr>
            <sz val="9"/>
            <color indexed="81"/>
            <rFont val="Tahoma"/>
            <family val="2"/>
          </rPr>
          <t xml:space="preserve">
</t>
        </r>
      </text>
    </comment>
    <comment ref="Q4" authorId="0" shapeId="0" xr:uid="{274D5155-1DE7-4C11-A254-3D0A5609E78C}">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입력안하면 전년대비 자동계산함</t>
        </r>
      </text>
    </comment>
    <comment ref="T4" authorId="0" shapeId="0" xr:uid="{8FEED481-26F6-49B4-B77B-97D5DCD604A1}">
      <text>
        <r>
          <rPr>
            <b/>
            <sz val="9"/>
            <color indexed="81"/>
            <rFont val="돋움"/>
            <family val="3"/>
            <charset val="129"/>
          </rPr>
          <t>이홍섭</t>
        </r>
        <r>
          <rPr>
            <b/>
            <sz val="9"/>
            <color indexed="81"/>
            <rFont val="Tahoma"/>
            <family val="2"/>
          </rPr>
          <t>:</t>
        </r>
        <r>
          <rPr>
            <sz val="9"/>
            <color indexed="81"/>
            <rFont val="Tahoma"/>
            <family val="2"/>
          </rPr>
          <t xml:space="preserve">
</t>
        </r>
        <r>
          <rPr>
            <sz val="9"/>
            <color indexed="81"/>
            <rFont val="돋움"/>
            <family val="3"/>
            <charset val="129"/>
          </rPr>
          <t>생계급여인상분에</t>
        </r>
        <r>
          <rPr>
            <sz val="9"/>
            <color indexed="81"/>
            <rFont val="Tahoma"/>
            <family val="2"/>
          </rPr>
          <t xml:space="preserve"> </t>
        </r>
        <r>
          <rPr>
            <sz val="9"/>
            <color indexed="81"/>
            <rFont val="돋움"/>
            <family val="3"/>
            <charset val="129"/>
          </rPr>
          <t>따라
약</t>
        </r>
        <r>
          <rPr>
            <sz val="9"/>
            <color indexed="81"/>
            <rFont val="Tahoma"/>
            <family val="2"/>
          </rPr>
          <t xml:space="preserve"> 13%</t>
        </r>
        <r>
          <rPr>
            <sz val="9"/>
            <color indexed="81"/>
            <rFont val="돋움"/>
            <family val="3"/>
            <charset val="129"/>
          </rPr>
          <t>인상</t>
        </r>
      </text>
    </comment>
    <comment ref="Q7" authorId="0" shapeId="0" xr:uid="{AE91B455-F71D-4FB7-A1B7-B76BC99DEBBC}">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입력안하면 전년대비 자동계산함</t>
        </r>
      </text>
    </comment>
    <comment ref="Q8" authorId="0" shapeId="0" xr:uid="{1677A961-3669-46A2-822D-E647F1FC1176}">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입력안하면 전년대비 자동계산함</t>
        </r>
      </text>
    </comment>
    <comment ref="Q9" authorId="0" shapeId="0" xr:uid="{FEFA6816-3443-42F8-93D2-DFFAEDF1EB8A}">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입력안하면 전년대비 자동계산함</t>
        </r>
      </text>
    </comment>
    <comment ref="Q10" authorId="0" shapeId="0" xr:uid="{3857C503-4AA8-45C8-A73B-32529F88C574}">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입력안하면 전년대비 자동계산함</t>
        </r>
      </text>
    </comment>
    <comment ref="BA10" authorId="0" shapeId="0" xr:uid="{5C7C6094-1200-4ADF-BCB7-0DC9B6E46122}">
      <text>
        <r>
          <rPr>
            <b/>
            <sz val="9"/>
            <color indexed="81"/>
            <rFont val="돋움"/>
            <family val="3"/>
            <charset val="129"/>
          </rPr>
          <t>이홍섭</t>
        </r>
        <r>
          <rPr>
            <b/>
            <sz val="9"/>
            <color indexed="81"/>
            <rFont val="Tahoma"/>
            <family val="2"/>
          </rPr>
          <t>:</t>
        </r>
        <r>
          <rPr>
            <sz val="9"/>
            <color indexed="81"/>
            <rFont val="Tahoma"/>
            <family val="2"/>
          </rPr>
          <t xml:space="preserve">
</t>
        </r>
        <r>
          <rPr>
            <b/>
            <sz val="9"/>
            <color indexed="81"/>
            <rFont val="돋움"/>
            <family val="3"/>
            <charset val="129"/>
          </rPr>
          <t>퇴직적립금이</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근로자는</t>
        </r>
        <r>
          <rPr>
            <b/>
            <sz val="9"/>
            <color indexed="81"/>
            <rFont val="Tahoma"/>
            <family val="2"/>
          </rPr>
          <t xml:space="preserve"> </t>
        </r>
        <r>
          <rPr>
            <b/>
            <sz val="9"/>
            <color indexed="81"/>
            <rFont val="돋움"/>
            <family val="3"/>
            <charset val="129"/>
          </rPr>
          <t>여기서</t>
        </r>
        <r>
          <rPr>
            <b/>
            <sz val="9"/>
            <color indexed="81"/>
            <rFont val="Tahoma"/>
            <family val="2"/>
          </rPr>
          <t xml:space="preserve"> </t>
        </r>
        <r>
          <rPr>
            <b/>
            <sz val="9"/>
            <color indexed="81"/>
            <rFont val="돋움"/>
            <family val="3"/>
            <charset val="129"/>
          </rPr>
          <t>삭제</t>
        </r>
        <r>
          <rPr>
            <b/>
            <sz val="9"/>
            <color indexed="81"/>
            <rFont val="Tahoma"/>
            <family val="2"/>
          </rPr>
          <t>!</t>
        </r>
      </text>
    </comment>
    <comment ref="Q11" authorId="0" shapeId="0" xr:uid="{4D611F2D-4D0E-4434-8833-EF597FD23297}">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입력안하면 전년대비 자동계산함</t>
        </r>
      </text>
    </comment>
    <comment ref="AY11" authorId="0" shapeId="0" xr:uid="{8802F99A-6FFA-4FDD-B290-29DD48A65E46}">
      <text>
        <r>
          <rPr>
            <b/>
            <sz val="9"/>
            <color indexed="81"/>
            <rFont val="돋움"/>
            <family val="3"/>
            <charset val="129"/>
          </rPr>
          <t>이홍섭</t>
        </r>
        <r>
          <rPr>
            <b/>
            <sz val="9"/>
            <color indexed="81"/>
            <rFont val="Tahoma"/>
            <family val="2"/>
          </rPr>
          <t>:</t>
        </r>
        <r>
          <rPr>
            <sz val="9"/>
            <color indexed="81"/>
            <rFont val="Tahoma"/>
            <family val="2"/>
          </rPr>
          <t xml:space="preserve">
ROUND(IF(</t>
        </r>
        <r>
          <rPr>
            <sz val="9"/>
            <color indexed="81"/>
            <rFont val="돋움"/>
            <family val="3"/>
            <charset val="129"/>
          </rPr>
          <t>데이터입력</t>
        </r>
        <r>
          <rPr>
            <sz val="9"/>
            <color indexed="81"/>
            <rFont val="Tahoma"/>
            <family val="2"/>
          </rPr>
          <t>!$AE$14=100%,ROUND(AR11*$AR$1,-3),ROUND(AR11*$AR$1,-3)-ROUND(((AR11*$AR$1)*$AT$4)*(</t>
        </r>
        <r>
          <rPr>
            <sz val="9"/>
            <color indexed="81"/>
            <rFont val="돋움"/>
            <family val="3"/>
            <charset val="129"/>
          </rPr>
          <t>데이터입력</t>
        </r>
        <r>
          <rPr>
            <sz val="9"/>
            <color indexed="81"/>
            <rFont val="Tahoma"/>
            <family val="2"/>
          </rPr>
          <t>!$AE$14-100%)+((AR11*$AR$1)*$AU$4)*(</t>
        </r>
        <r>
          <rPr>
            <sz val="9"/>
            <color indexed="81"/>
            <rFont val="돋움"/>
            <family val="3"/>
            <charset val="129"/>
          </rPr>
          <t>데이터입력</t>
        </r>
        <r>
          <rPr>
            <sz val="9"/>
            <color indexed="81"/>
            <rFont val="Tahoma"/>
            <family val="2"/>
          </rPr>
          <t>!$AE$14-100%)+((AR11*$AR$1)*$AU$4*$AV$4)*(</t>
        </r>
        <r>
          <rPr>
            <sz val="9"/>
            <color indexed="81"/>
            <rFont val="돋움"/>
            <family val="3"/>
            <charset val="129"/>
          </rPr>
          <t>데이터입력</t>
        </r>
        <r>
          <rPr>
            <sz val="9"/>
            <color indexed="81"/>
            <rFont val="Tahoma"/>
            <family val="2"/>
          </rPr>
          <t>!$AE$14-100%)+((AR11*$AR$1)*$AW$4)*(</t>
        </r>
        <r>
          <rPr>
            <sz val="9"/>
            <color indexed="81"/>
            <rFont val="돋움"/>
            <family val="3"/>
            <charset val="129"/>
          </rPr>
          <t>데이터입력</t>
        </r>
        <r>
          <rPr>
            <sz val="9"/>
            <color indexed="81"/>
            <rFont val="Tahoma"/>
            <family val="2"/>
          </rPr>
          <t>!$AE$14-100%),-1)),0)</t>
        </r>
      </text>
    </comment>
    <comment ref="Q12" authorId="0" shapeId="0" xr:uid="{D41BABD5-189B-4244-A6B4-548D18B0CFC9}">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입력안하면 전년대비 자동계산함</t>
        </r>
      </text>
    </comment>
    <comment ref="AC12" authorId="0" shapeId="0" xr:uid="{384FDBFE-8430-45BA-BEBD-FE5A62BA54F6}">
      <text>
        <r>
          <rPr>
            <b/>
            <sz val="9"/>
            <color indexed="81"/>
            <rFont val="돋움"/>
            <family val="3"/>
            <charset val="129"/>
          </rPr>
          <t>이홍섭</t>
        </r>
        <r>
          <rPr>
            <b/>
            <sz val="9"/>
            <color indexed="81"/>
            <rFont val="Tahoma"/>
            <family val="2"/>
          </rPr>
          <t>:</t>
        </r>
        <r>
          <rPr>
            <sz val="9"/>
            <color indexed="81"/>
            <rFont val="Tahoma"/>
            <family val="2"/>
          </rPr>
          <t xml:space="preserve">
22.07~
</t>
        </r>
        <r>
          <rPr>
            <sz val="9"/>
            <color indexed="81"/>
            <rFont val="돋움"/>
            <family val="3"/>
            <charset val="129"/>
          </rPr>
          <t>근로자</t>
        </r>
        <r>
          <rPr>
            <sz val="9"/>
            <color indexed="81"/>
            <rFont val="Tahoma"/>
            <family val="2"/>
          </rPr>
          <t xml:space="preserve"> 0.9%
</t>
        </r>
        <r>
          <rPr>
            <sz val="9"/>
            <color indexed="81"/>
            <rFont val="돋움"/>
            <family val="3"/>
            <charset val="129"/>
          </rPr>
          <t>사업주</t>
        </r>
        <r>
          <rPr>
            <sz val="9"/>
            <color indexed="81"/>
            <rFont val="Tahoma"/>
            <family val="2"/>
          </rPr>
          <t xml:space="preserve"> 1.15%</t>
        </r>
      </text>
    </comment>
    <comment ref="Q13" authorId="0" shapeId="0" xr:uid="{18EF0F8F-1E7A-4918-9615-2F2F74F8BADF}">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입력안하면 전년대비 자동계산함</t>
        </r>
      </text>
    </comment>
    <comment ref="AC13" authorId="0" shapeId="0" xr:uid="{A5BE6E77-3BDD-4DA5-BD68-BCDC39087020}">
      <text>
        <r>
          <rPr>
            <b/>
            <sz val="9"/>
            <color indexed="81"/>
            <rFont val="돋움"/>
            <family val="3"/>
            <charset val="129"/>
          </rPr>
          <t>이홍섭</t>
        </r>
        <r>
          <rPr>
            <b/>
            <sz val="9"/>
            <color indexed="81"/>
            <rFont val="Tahoma"/>
            <family val="2"/>
          </rPr>
          <t>:</t>
        </r>
        <r>
          <rPr>
            <sz val="9"/>
            <color indexed="81"/>
            <rFont val="Tahoma"/>
            <family val="2"/>
          </rPr>
          <t xml:space="preserve">
22.07~
</t>
        </r>
        <r>
          <rPr>
            <sz val="9"/>
            <color indexed="81"/>
            <rFont val="돋움"/>
            <family val="3"/>
            <charset val="129"/>
          </rPr>
          <t>근로자</t>
        </r>
        <r>
          <rPr>
            <sz val="9"/>
            <color indexed="81"/>
            <rFont val="Tahoma"/>
            <family val="2"/>
          </rPr>
          <t xml:space="preserve"> 0.9%
</t>
        </r>
        <r>
          <rPr>
            <sz val="9"/>
            <color indexed="81"/>
            <rFont val="돋움"/>
            <family val="3"/>
            <charset val="129"/>
          </rPr>
          <t>사업주</t>
        </r>
        <r>
          <rPr>
            <sz val="9"/>
            <color indexed="81"/>
            <rFont val="Tahoma"/>
            <family val="2"/>
          </rPr>
          <t xml:space="preserve"> 1.15%</t>
        </r>
      </text>
    </comment>
    <comment ref="Q14" authorId="0" shapeId="0" xr:uid="{E3FC334B-3EA5-4517-B085-5476A86289E8}">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입력안하면 전년대비 자동계산함</t>
        </r>
      </text>
    </comment>
    <comment ref="Q15" authorId="0" shapeId="0" xr:uid="{53C3F948-303C-475F-A9BB-77092FAE1AA1}">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입력안하면 전년대비 자동계산함</t>
        </r>
      </text>
    </comment>
    <comment ref="Q16" authorId="0" shapeId="0" xr:uid="{55CBC041-254B-4EFA-9A81-DEBAD8715D5E}">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입력안하면 전년대비 자동계산함</t>
        </r>
      </text>
    </comment>
    <comment ref="Q17" authorId="0" shapeId="0" xr:uid="{83E7B769-FF02-4103-AA67-A250F23C9C5D}">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입력안하면 전년대비 자동계산함</t>
        </r>
      </text>
    </comment>
    <comment ref="Q18" authorId="0" shapeId="0" xr:uid="{FC737989-411A-46D6-BC35-8B796337B102}">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입력안하면 전년대비 자동계산함</t>
        </r>
      </text>
    </comment>
    <comment ref="Q19" authorId="0" shapeId="0" xr:uid="{0EAF3FA9-2060-4E12-B005-6E7F8FB1FE77}">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입력안하면 전년대비 자동계산함</t>
        </r>
      </text>
    </comment>
    <comment ref="Q20" authorId="0" shapeId="0" xr:uid="{41BF47C1-10A5-48EA-A64B-650ABA250EBD}">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입력안하면 전년대비 자동계산함</t>
        </r>
      </text>
    </comment>
    <comment ref="Q21" authorId="0" shapeId="0" xr:uid="{BC297916-54C9-46FA-A638-1EC84C339709}">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입력안하면 전년대비 자동계산함</t>
        </r>
      </text>
    </comment>
    <comment ref="Q22" authorId="0" shapeId="0" xr:uid="{05A2D682-1F93-4160-94AB-3B4D31111BCF}">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입력안하면 전년대비 자동계산함</t>
        </r>
      </text>
    </comment>
    <comment ref="Q23" authorId="0" shapeId="0" xr:uid="{D918ACF4-548F-42F4-8803-CA116D34C79D}">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입력안하면 전년대비 자동계산함</t>
        </r>
      </text>
    </comment>
    <comment ref="Q24" authorId="0" shapeId="0" xr:uid="{1B852382-9467-4CCB-AA55-7EFBCBEAB844}">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입력안하면 전년대비 자동계산함</t>
        </r>
      </text>
    </comment>
    <comment ref="Q25" authorId="0" shapeId="0" xr:uid="{C4F62B4D-300D-4F6D-8CFA-2A0908A05F10}">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입력안하면 전년대비 자동계산함</t>
        </r>
      </text>
    </comment>
    <comment ref="Q26" authorId="0" shapeId="0" xr:uid="{4EB41FD3-D252-4A25-B95D-A9D692BEE32D}">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입력안하면 전년대비 자동계산함</t>
        </r>
      </text>
    </comment>
    <comment ref="Q27" authorId="0" shapeId="0" xr:uid="{B40644D8-5590-4D88-87BB-04290C26FEEA}">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입력안하면 전년대비 자동계산함</t>
        </r>
      </text>
    </comment>
    <comment ref="T30" authorId="0" shapeId="0" xr:uid="{0E9B5643-BE28-4ED1-AEE4-B82B79815369}">
      <text>
        <r>
          <rPr>
            <b/>
            <sz val="9"/>
            <color indexed="81"/>
            <rFont val="Tahoma"/>
            <family val="2"/>
          </rPr>
          <t>&lt;2026</t>
        </r>
        <r>
          <rPr>
            <b/>
            <sz val="9"/>
            <color indexed="81"/>
            <rFont val="돋움"/>
            <family val="3"/>
            <charset val="129"/>
          </rPr>
          <t>년도</t>
        </r>
        <r>
          <rPr>
            <b/>
            <sz val="9"/>
            <color indexed="81"/>
            <rFont val="Tahoma"/>
            <family val="2"/>
          </rPr>
          <t>&gt;</t>
        </r>
        <r>
          <rPr>
            <sz val="9"/>
            <color indexed="81"/>
            <rFont val="Tahoma"/>
            <family val="2"/>
          </rPr>
          <t xml:space="preserve">
1-2</t>
        </r>
        <r>
          <rPr>
            <sz val="9"/>
            <color indexed="81"/>
            <rFont val="돋움"/>
            <family val="3"/>
            <charset val="129"/>
          </rPr>
          <t>년</t>
        </r>
        <r>
          <rPr>
            <sz val="9"/>
            <color indexed="81"/>
            <rFont val="Tahoma"/>
            <family val="2"/>
          </rPr>
          <t xml:space="preserve"> 
</t>
        </r>
        <r>
          <rPr>
            <sz val="9"/>
            <color indexed="81"/>
            <rFont val="돋움"/>
            <family val="3"/>
            <charset val="129"/>
          </rPr>
          <t>방문</t>
        </r>
        <r>
          <rPr>
            <sz val="9"/>
            <color indexed="81"/>
            <rFont val="Tahoma"/>
            <family val="2"/>
          </rPr>
          <t>,</t>
        </r>
        <r>
          <rPr>
            <sz val="9"/>
            <color indexed="81"/>
            <rFont val="돋움"/>
            <family val="3"/>
            <charset val="129"/>
          </rPr>
          <t>입소동일</t>
        </r>
        <r>
          <rPr>
            <sz val="9"/>
            <color indexed="81"/>
            <rFont val="Tahoma"/>
            <family val="2"/>
          </rPr>
          <t xml:space="preserve"> 5</t>
        </r>
        <r>
          <rPr>
            <sz val="9"/>
            <color indexed="81"/>
            <rFont val="돋움"/>
            <family val="3"/>
            <charset val="129"/>
          </rPr>
          <t xml:space="preserve">만
</t>
        </r>
        <r>
          <rPr>
            <sz val="9"/>
            <color indexed="81"/>
            <rFont val="Tahoma"/>
            <family val="2"/>
          </rPr>
          <t xml:space="preserve">
3-4</t>
        </r>
        <r>
          <rPr>
            <sz val="9"/>
            <color indexed="81"/>
            <rFont val="돋움"/>
            <family val="3"/>
            <charset val="129"/>
          </rPr>
          <t>년
방문</t>
        </r>
        <r>
          <rPr>
            <sz val="9"/>
            <color indexed="81"/>
            <rFont val="Tahoma"/>
            <family val="2"/>
          </rPr>
          <t xml:space="preserve"> 11</t>
        </r>
        <r>
          <rPr>
            <sz val="9"/>
            <color indexed="81"/>
            <rFont val="돋움"/>
            <family val="3"/>
            <charset val="129"/>
          </rPr>
          <t>만
입소</t>
        </r>
        <r>
          <rPr>
            <sz val="9"/>
            <color indexed="81"/>
            <rFont val="Tahoma"/>
            <family val="2"/>
          </rPr>
          <t xml:space="preserve"> 14</t>
        </r>
        <r>
          <rPr>
            <sz val="9"/>
            <color indexed="81"/>
            <rFont val="돋움"/>
            <family val="3"/>
            <charset val="129"/>
          </rPr>
          <t xml:space="preserve">만
</t>
        </r>
        <r>
          <rPr>
            <sz val="9"/>
            <color indexed="81"/>
            <rFont val="Tahoma"/>
            <family val="2"/>
          </rPr>
          <t>5-6</t>
        </r>
        <r>
          <rPr>
            <sz val="9"/>
            <color indexed="81"/>
            <rFont val="돋움"/>
            <family val="3"/>
            <charset val="129"/>
          </rPr>
          <t>년
방문</t>
        </r>
        <r>
          <rPr>
            <sz val="9"/>
            <color indexed="81"/>
            <rFont val="Tahoma"/>
            <family val="2"/>
          </rPr>
          <t xml:space="preserve"> 13</t>
        </r>
        <r>
          <rPr>
            <sz val="9"/>
            <color indexed="81"/>
            <rFont val="돋움"/>
            <family val="3"/>
            <charset val="129"/>
          </rPr>
          <t>만
입소</t>
        </r>
        <r>
          <rPr>
            <sz val="9"/>
            <color indexed="81"/>
            <rFont val="Tahoma"/>
            <family val="2"/>
          </rPr>
          <t xml:space="preserve"> 16</t>
        </r>
        <r>
          <rPr>
            <sz val="9"/>
            <color indexed="81"/>
            <rFont val="돋움"/>
            <family val="3"/>
            <charset val="129"/>
          </rPr>
          <t xml:space="preserve">만
</t>
        </r>
        <r>
          <rPr>
            <sz val="9"/>
            <color indexed="81"/>
            <rFont val="Tahoma"/>
            <family val="2"/>
          </rPr>
          <t>7</t>
        </r>
        <r>
          <rPr>
            <sz val="9"/>
            <color indexed="81"/>
            <rFont val="돋움"/>
            <family val="3"/>
            <charset val="129"/>
          </rPr>
          <t>년</t>
        </r>
        <r>
          <rPr>
            <sz val="9"/>
            <color indexed="81"/>
            <rFont val="Tahoma"/>
            <family val="2"/>
          </rPr>
          <t xml:space="preserve">+
</t>
        </r>
        <r>
          <rPr>
            <sz val="9"/>
            <color indexed="81"/>
            <rFont val="돋움"/>
            <family val="3"/>
            <charset val="129"/>
          </rPr>
          <t>방문</t>
        </r>
        <r>
          <rPr>
            <sz val="9"/>
            <color indexed="81"/>
            <rFont val="Tahoma"/>
            <family val="2"/>
          </rPr>
          <t xml:space="preserve"> 15</t>
        </r>
        <r>
          <rPr>
            <sz val="9"/>
            <color indexed="81"/>
            <rFont val="돋움"/>
            <family val="3"/>
            <charset val="129"/>
          </rPr>
          <t>만
입소</t>
        </r>
        <r>
          <rPr>
            <sz val="9"/>
            <color indexed="81"/>
            <rFont val="Tahoma"/>
            <family val="2"/>
          </rPr>
          <t xml:space="preserve"> 18</t>
        </r>
        <r>
          <rPr>
            <sz val="9"/>
            <color indexed="81"/>
            <rFont val="돋움"/>
            <family val="3"/>
            <charset val="129"/>
          </rPr>
          <t>만</t>
        </r>
        <r>
          <rPr>
            <sz val="9"/>
            <color indexed="81"/>
            <rFont val="Tahoma"/>
            <family val="2"/>
          </rPr>
          <t xml:space="preserve">
</t>
        </r>
      </text>
    </comment>
    <comment ref="T31" authorId="0" shapeId="0" xr:uid="{A9631AEA-A7E3-4A1F-9B01-F9556BB51DEB}">
      <text>
        <r>
          <rPr>
            <b/>
            <sz val="9"/>
            <color indexed="81"/>
            <rFont val="Tahoma"/>
            <family val="2"/>
          </rPr>
          <t>&lt;2026</t>
        </r>
        <r>
          <rPr>
            <b/>
            <sz val="9"/>
            <color indexed="81"/>
            <rFont val="돋움"/>
            <family val="3"/>
            <charset val="129"/>
          </rPr>
          <t>년도</t>
        </r>
        <r>
          <rPr>
            <b/>
            <sz val="9"/>
            <color indexed="81"/>
            <rFont val="Tahoma"/>
            <family val="2"/>
          </rPr>
          <t>&gt;</t>
        </r>
        <r>
          <rPr>
            <sz val="9"/>
            <color indexed="81"/>
            <rFont val="Tahoma"/>
            <family val="2"/>
          </rPr>
          <t xml:space="preserve">
1-2</t>
        </r>
        <r>
          <rPr>
            <sz val="9"/>
            <color indexed="81"/>
            <rFont val="돋움"/>
            <family val="3"/>
            <charset val="129"/>
          </rPr>
          <t>년</t>
        </r>
        <r>
          <rPr>
            <sz val="9"/>
            <color indexed="81"/>
            <rFont val="Tahoma"/>
            <family val="2"/>
          </rPr>
          <t xml:space="preserve"> 
</t>
        </r>
        <r>
          <rPr>
            <sz val="9"/>
            <color indexed="81"/>
            <rFont val="돋움"/>
            <family val="3"/>
            <charset val="129"/>
          </rPr>
          <t>방문</t>
        </r>
        <r>
          <rPr>
            <sz val="9"/>
            <color indexed="81"/>
            <rFont val="Tahoma"/>
            <family val="2"/>
          </rPr>
          <t>,</t>
        </r>
        <r>
          <rPr>
            <sz val="9"/>
            <color indexed="81"/>
            <rFont val="돋움"/>
            <family val="3"/>
            <charset val="129"/>
          </rPr>
          <t>입소동일</t>
        </r>
        <r>
          <rPr>
            <sz val="9"/>
            <color indexed="81"/>
            <rFont val="Tahoma"/>
            <family val="2"/>
          </rPr>
          <t xml:space="preserve"> 5</t>
        </r>
        <r>
          <rPr>
            <sz val="9"/>
            <color indexed="81"/>
            <rFont val="돋움"/>
            <family val="3"/>
            <charset val="129"/>
          </rPr>
          <t xml:space="preserve">만
</t>
        </r>
        <r>
          <rPr>
            <sz val="9"/>
            <color indexed="81"/>
            <rFont val="Tahoma"/>
            <family val="2"/>
          </rPr>
          <t xml:space="preserve">
3-4</t>
        </r>
        <r>
          <rPr>
            <sz val="9"/>
            <color indexed="81"/>
            <rFont val="돋움"/>
            <family val="3"/>
            <charset val="129"/>
          </rPr>
          <t>년
방문</t>
        </r>
        <r>
          <rPr>
            <sz val="9"/>
            <color indexed="81"/>
            <rFont val="Tahoma"/>
            <family val="2"/>
          </rPr>
          <t xml:space="preserve"> 11</t>
        </r>
        <r>
          <rPr>
            <sz val="9"/>
            <color indexed="81"/>
            <rFont val="돋움"/>
            <family val="3"/>
            <charset val="129"/>
          </rPr>
          <t>만
입소</t>
        </r>
        <r>
          <rPr>
            <sz val="9"/>
            <color indexed="81"/>
            <rFont val="Tahoma"/>
            <family val="2"/>
          </rPr>
          <t xml:space="preserve"> 14</t>
        </r>
        <r>
          <rPr>
            <sz val="9"/>
            <color indexed="81"/>
            <rFont val="돋움"/>
            <family val="3"/>
            <charset val="129"/>
          </rPr>
          <t xml:space="preserve">만
</t>
        </r>
        <r>
          <rPr>
            <sz val="9"/>
            <color indexed="81"/>
            <rFont val="Tahoma"/>
            <family val="2"/>
          </rPr>
          <t>5-6</t>
        </r>
        <r>
          <rPr>
            <sz val="9"/>
            <color indexed="81"/>
            <rFont val="돋움"/>
            <family val="3"/>
            <charset val="129"/>
          </rPr>
          <t>년
방문</t>
        </r>
        <r>
          <rPr>
            <sz val="9"/>
            <color indexed="81"/>
            <rFont val="Tahoma"/>
            <family val="2"/>
          </rPr>
          <t xml:space="preserve"> 13</t>
        </r>
        <r>
          <rPr>
            <sz val="9"/>
            <color indexed="81"/>
            <rFont val="돋움"/>
            <family val="3"/>
            <charset val="129"/>
          </rPr>
          <t>만
입소</t>
        </r>
        <r>
          <rPr>
            <sz val="9"/>
            <color indexed="81"/>
            <rFont val="Tahoma"/>
            <family val="2"/>
          </rPr>
          <t xml:space="preserve"> 16</t>
        </r>
        <r>
          <rPr>
            <sz val="9"/>
            <color indexed="81"/>
            <rFont val="돋움"/>
            <family val="3"/>
            <charset val="129"/>
          </rPr>
          <t xml:space="preserve">만
</t>
        </r>
        <r>
          <rPr>
            <sz val="9"/>
            <color indexed="81"/>
            <rFont val="Tahoma"/>
            <family val="2"/>
          </rPr>
          <t>7</t>
        </r>
        <r>
          <rPr>
            <sz val="9"/>
            <color indexed="81"/>
            <rFont val="돋움"/>
            <family val="3"/>
            <charset val="129"/>
          </rPr>
          <t>년</t>
        </r>
        <r>
          <rPr>
            <sz val="9"/>
            <color indexed="81"/>
            <rFont val="Tahoma"/>
            <family val="2"/>
          </rPr>
          <t xml:space="preserve">+
</t>
        </r>
        <r>
          <rPr>
            <sz val="9"/>
            <color indexed="81"/>
            <rFont val="돋움"/>
            <family val="3"/>
            <charset val="129"/>
          </rPr>
          <t>방문</t>
        </r>
        <r>
          <rPr>
            <sz val="9"/>
            <color indexed="81"/>
            <rFont val="Tahoma"/>
            <family val="2"/>
          </rPr>
          <t xml:space="preserve"> 15</t>
        </r>
        <r>
          <rPr>
            <sz val="9"/>
            <color indexed="81"/>
            <rFont val="돋움"/>
            <family val="3"/>
            <charset val="129"/>
          </rPr>
          <t>만
입소</t>
        </r>
        <r>
          <rPr>
            <sz val="9"/>
            <color indexed="81"/>
            <rFont val="Tahoma"/>
            <family val="2"/>
          </rPr>
          <t xml:space="preserve"> 18</t>
        </r>
        <r>
          <rPr>
            <sz val="9"/>
            <color indexed="81"/>
            <rFont val="돋움"/>
            <family val="3"/>
            <charset val="129"/>
          </rPr>
          <t>만</t>
        </r>
        <r>
          <rPr>
            <sz val="9"/>
            <color indexed="81"/>
            <rFont val="Tahoma"/>
            <family val="2"/>
          </rPr>
          <t xml:space="preserve">
</t>
        </r>
      </text>
    </comment>
    <comment ref="T32" authorId="0" shapeId="0" xr:uid="{C716B1C6-7153-41D9-A0A1-4C76D68ED2BF}">
      <text>
        <r>
          <rPr>
            <b/>
            <sz val="9"/>
            <color indexed="81"/>
            <rFont val="Tahoma"/>
            <family val="2"/>
          </rPr>
          <t>&lt;2026</t>
        </r>
        <r>
          <rPr>
            <b/>
            <sz val="9"/>
            <color indexed="81"/>
            <rFont val="돋움"/>
            <family val="3"/>
            <charset val="129"/>
          </rPr>
          <t>년도</t>
        </r>
        <r>
          <rPr>
            <b/>
            <sz val="9"/>
            <color indexed="81"/>
            <rFont val="Tahoma"/>
            <family val="2"/>
          </rPr>
          <t>&gt;</t>
        </r>
        <r>
          <rPr>
            <sz val="9"/>
            <color indexed="81"/>
            <rFont val="Tahoma"/>
            <family val="2"/>
          </rPr>
          <t xml:space="preserve">
1-2</t>
        </r>
        <r>
          <rPr>
            <sz val="9"/>
            <color indexed="81"/>
            <rFont val="돋움"/>
            <family val="3"/>
            <charset val="129"/>
          </rPr>
          <t>년</t>
        </r>
        <r>
          <rPr>
            <sz val="9"/>
            <color indexed="81"/>
            <rFont val="Tahoma"/>
            <family val="2"/>
          </rPr>
          <t xml:space="preserve"> 
</t>
        </r>
        <r>
          <rPr>
            <sz val="9"/>
            <color indexed="81"/>
            <rFont val="돋움"/>
            <family val="3"/>
            <charset val="129"/>
          </rPr>
          <t>방문</t>
        </r>
        <r>
          <rPr>
            <sz val="9"/>
            <color indexed="81"/>
            <rFont val="Tahoma"/>
            <family val="2"/>
          </rPr>
          <t>,</t>
        </r>
        <r>
          <rPr>
            <sz val="9"/>
            <color indexed="81"/>
            <rFont val="돋움"/>
            <family val="3"/>
            <charset val="129"/>
          </rPr>
          <t>입소동일</t>
        </r>
        <r>
          <rPr>
            <sz val="9"/>
            <color indexed="81"/>
            <rFont val="Tahoma"/>
            <family val="2"/>
          </rPr>
          <t xml:space="preserve"> 5</t>
        </r>
        <r>
          <rPr>
            <sz val="9"/>
            <color indexed="81"/>
            <rFont val="돋움"/>
            <family val="3"/>
            <charset val="129"/>
          </rPr>
          <t xml:space="preserve">만
</t>
        </r>
        <r>
          <rPr>
            <sz val="9"/>
            <color indexed="81"/>
            <rFont val="Tahoma"/>
            <family val="2"/>
          </rPr>
          <t xml:space="preserve">
3-4</t>
        </r>
        <r>
          <rPr>
            <sz val="9"/>
            <color indexed="81"/>
            <rFont val="돋움"/>
            <family val="3"/>
            <charset val="129"/>
          </rPr>
          <t>년
방문</t>
        </r>
        <r>
          <rPr>
            <sz val="9"/>
            <color indexed="81"/>
            <rFont val="Tahoma"/>
            <family val="2"/>
          </rPr>
          <t xml:space="preserve"> 11</t>
        </r>
        <r>
          <rPr>
            <sz val="9"/>
            <color indexed="81"/>
            <rFont val="돋움"/>
            <family val="3"/>
            <charset val="129"/>
          </rPr>
          <t>만
입소</t>
        </r>
        <r>
          <rPr>
            <sz val="9"/>
            <color indexed="81"/>
            <rFont val="Tahoma"/>
            <family val="2"/>
          </rPr>
          <t xml:space="preserve"> 14</t>
        </r>
        <r>
          <rPr>
            <sz val="9"/>
            <color indexed="81"/>
            <rFont val="돋움"/>
            <family val="3"/>
            <charset val="129"/>
          </rPr>
          <t xml:space="preserve">만
</t>
        </r>
        <r>
          <rPr>
            <sz val="9"/>
            <color indexed="81"/>
            <rFont val="Tahoma"/>
            <family val="2"/>
          </rPr>
          <t>5-6</t>
        </r>
        <r>
          <rPr>
            <sz val="9"/>
            <color indexed="81"/>
            <rFont val="돋움"/>
            <family val="3"/>
            <charset val="129"/>
          </rPr>
          <t>년
방문</t>
        </r>
        <r>
          <rPr>
            <sz val="9"/>
            <color indexed="81"/>
            <rFont val="Tahoma"/>
            <family val="2"/>
          </rPr>
          <t xml:space="preserve"> 13</t>
        </r>
        <r>
          <rPr>
            <sz val="9"/>
            <color indexed="81"/>
            <rFont val="돋움"/>
            <family val="3"/>
            <charset val="129"/>
          </rPr>
          <t>만
입소</t>
        </r>
        <r>
          <rPr>
            <sz val="9"/>
            <color indexed="81"/>
            <rFont val="Tahoma"/>
            <family val="2"/>
          </rPr>
          <t xml:space="preserve"> 16</t>
        </r>
        <r>
          <rPr>
            <sz val="9"/>
            <color indexed="81"/>
            <rFont val="돋움"/>
            <family val="3"/>
            <charset val="129"/>
          </rPr>
          <t xml:space="preserve">만
</t>
        </r>
        <r>
          <rPr>
            <sz val="9"/>
            <color indexed="81"/>
            <rFont val="Tahoma"/>
            <family val="2"/>
          </rPr>
          <t>7</t>
        </r>
        <r>
          <rPr>
            <sz val="9"/>
            <color indexed="81"/>
            <rFont val="돋움"/>
            <family val="3"/>
            <charset val="129"/>
          </rPr>
          <t>년</t>
        </r>
        <r>
          <rPr>
            <sz val="9"/>
            <color indexed="81"/>
            <rFont val="Tahoma"/>
            <family val="2"/>
          </rPr>
          <t xml:space="preserve">+
</t>
        </r>
        <r>
          <rPr>
            <sz val="9"/>
            <color indexed="81"/>
            <rFont val="돋움"/>
            <family val="3"/>
            <charset val="129"/>
          </rPr>
          <t>방문</t>
        </r>
        <r>
          <rPr>
            <sz val="9"/>
            <color indexed="81"/>
            <rFont val="Tahoma"/>
            <family val="2"/>
          </rPr>
          <t xml:space="preserve"> 15</t>
        </r>
        <r>
          <rPr>
            <sz val="9"/>
            <color indexed="81"/>
            <rFont val="돋움"/>
            <family val="3"/>
            <charset val="129"/>
          </rPr>
          <t>만
입소</t>
        </r>
        <r>
          <rPr>
            <sz val="9"/>
            <color indexed="81"/>
            <rFont val="Tahoma"/>
            <family val="2"/>
          </rPr>
          <t xml:space="preserve"> 18</t>
        </r>
        <r>
          <rPr>
            <sz val="9"/>
            <color indexed="81"/>
            <rFont val="돋움"/>
            <family val="3"/>
            <charset val="129"/>
          </rPr>
          <t>만</t>
        </r>
        <r>
          <rPr>
            <sz val="9"/>
            <color indexed="81"/>
            <rFont val="Tahoma"/>
            <family val="2"/>
          </rPr>
          <t xml:space="preserve">
</t>
        </r>
      </text>
    </comment>
    <comment ref="T33" authorId="0" shapeId="0" xr:uid="{FA1240F6-407B-48D3-B66C-762AE5133C88}">
      <text>
        <r>
          <rPr>
            <b/>
            <sz val="9"/>
            <color indexed="81"/>
            <rFont val="Tahoma"/>
            <family val="2"/>
          </rPr>
          <t>&lt;2026</t>
        </r>
        <r>
          <rPr>
            <b/>
            <sz val="9"/>
            <color indexed="81"/>
            <rFont val="돋움"/>
            <family val="3"/>
            <charset val="129"/>
          </rPr>
          <t>년도</t>
        </r>
        <r>
          <rPr>
            <b/>
            <sz val="9"/>
            <color indexed="81"/>
            <rFont val="Tahoma"/>
            <family val="2"/>
          </rPr>
          <t>&gt;</t>
        </r>
        <r>
          <rPr>
            <sz val="9"/>
            <color indexed="81"/>
            <rFont val="Tahoma"/>
            <family val="2"/>
          </rPr>
          <t xml:space="preserve">
1-2</t>
        </r>
        <r>
          <rPr>
            <sz val="9"/>
            <color indexed="81"/>
            <rFont val="돋움"/>
            <family val="3"/>
            <charset val="129"/>
          </rPr>
          <t>년</t>
        </r>
        <r>
          <rPr>
            <sz val="9"/>
            <color indexed="81"/>
            <rFont val="Tahoma"/>
            <family val="2"/>
          </rPr>
          <t xml:space="preserve"> 
</t>
        </r>
        <r>
          <rPr>
            <sz val="9"/>
            <color indexed="81"/>
            <rFont val="돋움"/>
            <family val="3"/>
            <charset val="129"/>
          </rPr>
          <t>방문</t>
        </r>
        <r>
          <rPr>
            <sz val="9"/>
            <color indexed="81"/>
            <rFont val="Tahoma"/>
            <family val="2"/>
          </rPr>
          <t>,</t>
        </r>
        <r>
          <rPr>
            <sz val="9"/>
            <color indexed="81"/>
            <rFont val="돋움"/>
            <family val="3"/>
            <charset val="129"/>
          </rPr>
          <t>입소동일</t>
        </r>
        <r>
          <rPr>
            <sz val="9"/>
            <color indexed="81"/>
            <rFont val="Tahoma"/>
            <family val="2"/>
          </rPr>
          <t xml:space="preserve"> 5</t>
        </r>
        <r>
          <rPr>
            <sz val="9"/>
            <color indexed="81"/>
            <rFont val="돋움"/>
            <family val="3"/>
            <charset val="129"/>
          </rPr>
          <t xml:space="preserve">만
</t>
        </r>
        <r>
          <rPr>
            <sz val="9"/>
            <color indexed="81"/>
            <rFont val="Tahoma"/>
            <family val="2"/>
          </rPr>
          <t xml:space="preserve">
3-4</t>
        </r>
        <r>
          <rPr>
            <sz val="9"/>
            <color indexed="81"/>
            <rFont val="돋움"/>
            <family val="3"/>
            <charset val="129"/>
          </rPr>
          <t>년
방문</t>
        </r>
        <r>
          <rPr>
            <sz val="9"/>
            <color indexed="81"/>
            <rFont val="Tahoma"/>
            <family val="2"/>
          </rPr>
          <t xml:space="preserve"> 11</t>
        </r>
        <r>
          <rPr>
            <sz val="9"/>
            <color indexed="81"/>
            <rFont val="돋움"/>
            <family val="3"/>
            <charset val="129"/>
          </rPr>
          <t>만
입소</t>
        </r>
        <r>
          <rPr>
            <sz val="9"/>
            <color indexed="81"/>
            <rFont val="Tahoma"/>
            <family val="2"/>
          </rPr>
          <t xml:space="preserve"> 14</t>
        </r>
        <r>
          <rPr>
            <sz val="9"/>
            <color indexed="81"/>
            <rFont val="돋움"/>
            <family val="3"/>
            <charset val="129"/>
          </rPr>
          <t xml:space="preserve">만
</t>
        </r>
        <r>
          <rPr>
            <sz val="9"/>
            <color indexed="81"/>
            <rFont val="Tahoma"/>
            <family val="2"/>
          </rPr>
          <t>5-6</t>
        </r>
        <r>
          <rPr>
            <sz val="9"/>
            <color indexed="81"/>
            <rFont val="돋움"/>
            <family val="3"/>
            <charset val="129"/>
          </rPr>
          <t>년
방문</t>
        </r>
        <r>
          <rPr>
            <sz val="9"/>
            <color indexed="81"/>
            <rFont val="Tahoma"/>
            <family val="2"/>
          </rPr>
          <t xml:space="preserve"> 13</t>
        </r>
        <r>
          <rPr>
            <sz val="9"/>
            <color indexed="81"/>
            <rFont val="돋움"/>
            <family val="3"/>
            <charset val="129"/>
          </rPr>
          <t>만
입소</t>
        </r>
        <r>
          <rPr>
            <sz val="9"/>
            <color indexed="81"/>
            <rFont val="Tahoma"/>
            <family val="2"/>
          </rPr>
          <t xml:space="preserve"> 16</t>
        </r>
        <r>
          <rPr>
            <sz val="9"/>
            <color indexed="81"/>
            <rFont val="돋움"/>
            <family val="3"/>
            <charset val="129"/>
          </rPr>
          <t xml:space="preserve">만
</t>
        </r>
        <r>
          <rPr>
            <sz val="9"/>
            <color indexed="81"/>
            <rFont val="Tahoma"/>
            <family val="2"/>
          </rPr>
          <t>7</t>
        </r>
        <r>
          <rPr>
            <sz val="9"/>
            <color indexed="81"/>
            <rFont val="돋움"/>
            <family val="3"/>
            <charset val="129"/>
          </rPr>
          <t>년</t>
        </r>
        <r>
          <rPr>
            <sz val="9"/>
            <color indexed="81"/>
            <rFont val="Tahoma"/>
            <family val="2"/>
          </rPr>
          <t xml:space="preserve">+
</t>
        </r>
        <r>
          <rPr>
            <sz val="9"/>
            <color indexed="81"/>
            <rFont val="돋움"/>
            <family val="3"/>
            <charset val="129"/>
          </rPr>
          <t>방문</t>
        </r>
        <r>
          <rPr>
            <sz val="9"/>
            <color indexed="81"/>
            <rFont val="Tahoma"/>
            <family val="2"/>
          </rPr>
          <t xml:space="preserve"> 15</t>
        </r>
        <r>
          <rPr>
            <sz val="9"/>
            <color indexed="81"/>
            <rFont val="돋움"/>
            <family val="3"/>
            <charset val="129"/>
          </rPr>
          <t>만
입소</t>
        </r>
        <r>
          <rPr>
            <sz val="9"/>
            <color indexed="81"/>
            <rFont val="Tahoma"/>
            <family val="2"/>
          </rPr>
          <t xml:space="preserve"> 18</t>
        </r>
        <r>
          <rPr>
            <sz val="9"/>
            <color indexed="81"/>
            <rFont val="돋움"/>
            <family val="3"/>
            <charset val="129"/>
          </rPr>
          <t>만</t>
        </r>
        <r>
          <rPr>
            <sz val="9"/>
            <color indexed="81"/>
            <rFont val="Tahoma"/>
            <family val="2"/>
          </rPr>
          <t xml:space="preserve">
</t>
        </r>
      </text>
    </comment>
    <comment ref="O34" authorId="0" shapeId="0" xr:uid="{B859A2A3-36B9-472E-858C-673A74301AEB}">
      <text>
        <r>
          <rPr>
            <b/>
            <sz val="9"/>
            <color indexed="81"/>
            <rFont val="돋움"/>
            <family val="3"/>
            <charset val="129"/>
          </rPr>
          <t>이홍섭</t>
        </r>
        <r>
          <rPr>
            <b/>
            <sz val="9"/>
            <color indexed="81"/>
            <rFont val="Tahoma"/>
            <family val="2"/>
          </rPr>
          <t>:</t>
        </r>
        <r>
          <rPr>
            <sz val="9"/>
            <color indexed="81"/>
            <rFont val="Tahoma"/>
            <family val="2"/>
          </rPr>
          <t xml:space="preserve">
</t>
        </r>
        <r>
          <rPr>
            <b/>
            <sz val="9"/>
            <color indexed="81"/>
            <rFont val="맑은 고딕"/>
            <family val="3"/>
            <charset val="129"/>
            <scheme val="major"/>
          </rPr>
          <t>1식 식대입력 안하면 전년결산대비 자동계산</t>
        </r>
      </text>
    </comment>
    <comment ref="Q35" authorId="0" shapeId="0" xr:uid="{2060EF98-8F37-4C73-8F57-063176595FAC}">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36" authorId="0" shapeId="0" xr:uid="{264C20A9-B0D2-40AA-9090-8C591870CC56}">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37" authorId="0" shapeId="0" xr:uid="{F621BA10-841F-454B-9668-B1AEF2938695}">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38" authorId="0" shapeId="0" xr:uid="{6C4A57B4-4ABA-4C68-9358-4DAF79A12215}">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39" authorId="0" shapeId="0" xr:uid="{8D72AB1E-7CDB-4054-AADC-BF9C0EBA45C7}">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40" authorId="0" shapeId="0" xr:uid="{9AC0977D-0654-48FF-9D77-86E4A9889666}">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41" authorId="0" shapeId="0" xr:uid="{FC276B03-2499-4812-939B-B3298D5AC91F}">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42" authorId="0" shapeId="0" xr:uid="{F66BDC55-CCD1-4E74-A15A-B859E17F20A1}">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AB42" authorId="0" shapeId="0" xr:uid="{D5B0F127-475F-48E2-971A-500CAAC72C41}">
      <text>
        <r>
          <rPr>
            <b/>
            <sz val="9"/>
            <color indexed="81"/>
            <rFont val="돋움"/>
            <family val="3"/>
            <charset val="129"/>
          </rPr>
          <t>이홍섭</t>
        </r>
        <r>
          <rPr>
            <b/>
            <sz val="9"/>
            <color indexed="81"/>
            <rFont val="Tahoma"/>
            <family val="2"/>
          </rPr>
          <t>:</t>
        </r>
        <r>
          <rPr>
            <sz val="9"/>
            <color indexed="81"/>
            <rFont val="Tahoma"/>
            <family val="2"/>
          </rPr>
          <t xml:space="preserve">
</t>
        </r>
        <r>
          <rPr>
            <sz val="9"/>
            <color indexed="81"/>
            <rFont val="돋움"/>
            <family val="3"/>
            <charset val="129"/>
          </rPr>
          <t>공공요금의</t>
        </r>
        <r>
          <rPr>
            <sz val="9"/>
            <color indexed="81"/>
            <rFont val="Tahoma"/>
            <family val="2"/>
          </rPr>
          <t xml:space="preserve"> </t>
        </r>
        <r>
          <rPr>
            <sz val="9"/>
            <color indexed="81"/>
            <rFont val="돋움"/>
            <family val="3"/>
            <charset val="129"/>
          </rPr>
          <t>비율입력
나머지는</t>
        </r>
        <r>
          <rPr>
            <sz val="9"/>
            <color indexed="81"/>
            <rFont val="Tahoma"/>
            <family val="2"/>
          </rPr>
          <t xml:space="preserve"> </t>
        </r>
        <r>
          <rPr>
            <sz val="9"/>
            <color indexed="81"/>
            <rFont val="돋움"/>
            <family val="3"/>
            <charset val="129"/>
          </rPr>
          <t>제세공과금</t>
        </r>
      </text>
    </comment>
    <comment ref="Q43" authorId="0" shapeId="0" xr:uid="{87777EC2-73D8-459B-B3D8-48199AFCC74E}">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44" authorId="0" shapeId="0" xr:uid="{EC186250-5BD1-42F8-9ED3-FF90DFB8C300}">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45" authorId="0" shapeId="0" xr:uid="{0FA53D12-6100-41A5-BA0F-D7ED37DAA569}">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46" authorId="0" shapeId="0" xr:uid="{A78E489F-94E9-492D-B29A-E01231467D2D}">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47" authorId="0" shapeId="0" xr:uid="{4156CB86-EFB5-4C17-A540-2F8D28D8D723}">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48" authorId="0" shapeId="0" xr:uid="{ECA3089B-DF2F-4540-A3C6-97A07F326FDF}">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49" authorId="0" shapeId="0" xr:uid="{5CD116ED-FC3E-4287-84D8-0154D61B6800}">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54" authorId="0" shapeId="0" xr:uid="{B7FFBCC8-EEB0-406B-BACC-DABFC596E40F}">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57" authorId="0" shapeId="0" xr:uid="{13A932F0-954C-45E5-8F52-76F71A87D6E9}">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58" authorId="0" shapeId="0" xr:uid="{5FCE683B-1215-44E7-BAED-013882A9ECD2}">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60" authorId="0" shapeId="0" xr:uid="{EF81FFD7-DD43-4AC4-9DC2-14321670317A}">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62" authorId="0" shapeId="0" xr:uid="{63A8343C-E181-4F1E-8041-0367652A6E15}">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BA62" authorId="0" shapeId="0" xr:uid="{FC13768F-6FDE-481F-9E54-733912B243E7}">
      <text>
        <r>
          <rPr>
            <b/>
            <sz val="9"/>
            <color indexed="81"/>
            <rFont val="돋움"/>
            <family val="3"/>
            <charset val="129"/>
          </rPr>
          <t>이홍섭</t>
        </r>
        <r>
          <rPr>
            <b/>
            <sz val="9"/>
            <color indexed="81"/>
            <rFont val="Tahoma"/>
            <family val="2"/>
          </rPr>
          <t>:</t>
        </r>
        <r>
          <rPr>
            <sz val="9"/>
            <color indexed="81"/>
            <rFont val="Tahoma"/>
            <family val="2"/>
          </rPr>
          <t xml:space="preserve">
</t>
        </r>
        <r>
          <rPr>
            <b/>
            <sz val="9"/>
            <color indexed="81"/>
            <rFont val="돋움"/>
            <family val="3"/>
            <charset val="129"/>
          </rPr>
          <t>퇴직적립금이</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근로자는</t>
        </r>
        <r>
          <rPr>
            <b/>
            <sz val="9"/>
            <color indexed="81"/>
            <rFont val="Tahoma"/>
            <family val="2"/>
          </rPr>
          <t xml:space="preserve"> </t>
        </r>
        <r>
          <rPr>
            <b/>
            <sz val="9"/>
            <color indexed="81"/>
            <rFont val="돋움"/>
            <family val="3"/>
            <charset val="129"/>
          </rPr>
          <t>여기서</t>
        </r>
        <r>
          <rPr>
            <b/>
            <sz val="9"/>
            <color indexed="81"/>
            <rFont val="Tahoma"/>
            <family val="2"/>
          </rPr>
          <t xml:space="preserve"> </t>
        </r>
        <r>
          <rPr>
            <b/>
            <sz val="9"/>
            <color indexed="81"/>
            <rFont val="돋움"/>
            <family val="3"/>
            <charset val="129"/>
          </rPr>
          <t>삭제</t>
        </r>
        <r>
          <rPr>
            <b/>
            <sz val="9"/>
            <color indexed="81"/>
            <rFont val="Tahoma"/>
            <family val="2"/>
          </rPr>
          <t>!</t>
        </r>
      </text>
    </comment>
    <comment ref="Q63" authorId="0" shapeId="0" xr:uid="{B333C3A5-31C5-4973-8317-EC2D4D70D3E4}">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AY63" authorId="0" shapeId="0" xr:uid="{BD5A166D-88B5-4A27-ACF5-020C9B6ED8EA}">
      <text>
        <r>
          <rPr>
            <b/>
            <sz val="9"/>
            <color indexed="81"/>
            <rFont val="돋움"/>
            <family val="3"/>
            <charset val="129"/>
          </rPr>
          <t>이홍섭</t>
        </r>
        <r>
          <rPr>
            <b/>
            <sz val="9"/>
            <color indexed="81"/>
            <rFont val="Tahoma"/>
            <family val="2"/>
          </rPr>
          <t>:</t>
        </r>
        <r>
          <rPr>
            <sz val="9"/>
            <color indexed="81"/>
            <rFont val="Tahoma"/>
            <family val="2"/>
          </rPr>
          <t xml:space="preserve">
ROUND(IF(</t>
        </r>
        <r>
          <rPr>
            <sz val="9"/>
            <color indexed="81"/>
            <rFont val="돋움"/>
            <family val="3"/>
            <charset val="129"/>
          </rPr>
          <t>데이터입력</t>
        </r>
        <r>
          <rPr>
            <sz val="9"/>
            <color indexed="81"/>
            <rFont val="Tahoma"/>
            <family val="2"/>
          </rPr>
          <t>!$AF$14=100%,ROUND(AR63*$AR$1,-3),ROUND(AR63*$AR$1,-3)-ROUND(((AR63*$AR$1)*$AT$4)*(</t>
        </r>
        <r>
          <rPr>
            <sz val="9"/>
            <color indexed="81"/>
            <rFont val="돋움"/>
            <family val="3"/>
            <charset val="129"/>
          </rPr>
          <t>데이터입력</t>
        </r>
        <r>
          <rPr>
            <sz val="9"/>
            <color indexed="81"/>
            <rFont val="Tahoma"/>
            <family val="2"/>
          </rPr>
          <t>!$AF$14-100%)+((AR63*$AR$1)*$AU$4)*(</t>
        </r>
        <r>
          <rPr>
            <sz val="9"/>
            <color indexed="81"/>
            <rFont val="돋움"/>
            <family val="3"/>
            <charset val="129"/>
          </rPr>
          <t>데이터입력</t>
        </r>
        <r>
          <rPr>
            <sz val="9"/>
            <color indexed="81"/>
            <rFont val="Tahoma"/>
            <family val="2"/>
          </rPr>
          <t>!$AF$14-100%)+((AR63*$AR$1)*$AU$4*$AV$4)*(</t>
        </r>
        <r>
          <rPr>
            <sz val="9"/>
            <color indexed="81"/>
            <rFont val="돋움"/>
            <family val="3"/>
            <charset val="129"/>
          </rPr>
          <t>데이터입력</t>
        </r>
        <r>
          <rPr>
            <sz val="9"/>
            <color indexed="81"/>
            <rFont val="Tahoma"/>
            <family val="2"/>
          </rPr>
          <t>!$AF$14-100%)+((AR63*$AR$1)*$AW$4)*(</t>
        </r>
        <r>
          <rPr>
            <sz val="9"/>
            <color indexed="81"/>
            <rFont val="돋움"/>
            <family val="3"/>
            <charset val="129"/>
          </rPr>
          <t>데이터입력</t>
        </r>
        <r>
          <rPr>
            <sz val="9"/>
            <color indexed="81"/>
            <rFont val="Tahoma"/>
            <family val="2"/>
          </rPr>
          <t>!$AF$14-100%),-1)),0)</t>
        </r>
      </text>
    </comment>
    <comment ref="Q64" authorId="0" shapeId="0" xr:uid="{43FB67E5-D6D6-4FB3-B467-DE5647116C56}">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65" authorId="0" shapeId="0" xr:uid="{22C1BE62-ED3F-4E7E-89E2-D1EA17298992}">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66" authorId="0" shapeId="0" xr:uid="{B3410479-D5E7-49A4-9D56-BB45AA3C1E04}">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68" authorId="0" shapeId="0" xr:uid="{BEDB654D-005E-4A64-86E9-035D7D109FDD}">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V70" authorId="0" shapeId="0" xr:uid="{874ECA04-181E-4B7A-BBBD-11CFE95EE216}">
      <text>
        <r>
          <rPr>
            <b/>
            <sz val="9"/>
            <color indexed="81"/>
            <rFont val="돋움"/>
            <family val="3"/>
            <charset val="129"/>
          </rPr>
          <t>이홍섭</t>
        </r>
        <r>
          <rPr>
            <b/>
            <sz val="9"/>
            <color indexed="81"/>
            <rFont val="Tahoma"/>
            <family val="2"/>
          </rPr>
          <t>:</t>
        </r>
        <r>
          <rPr>
            <sz val="9"/>
            <color indexed="81"/>
            <rFont val="Tahoma"/>
            <family val="2"/>
          </rPr>
          <t xml:space="preserve">
</t>
        </r>
        <r>
          <rPr>
            <sz val="9"/>
            <color indexed="81"/>
            <rFont val="돋움"/>
            <family val="3"/>
            <charset val="129"/>
          </rPr>
          <t>퇴직적립금이</t>
        </r>
        <r>
          <rPr>
            <sz val="9"/>
            <color indexed="81"/>
            <rFont val="Tahoma"/>
            <family val="2"/>
          </rPr>
          <t xml:space="preserve"> </t>
        </r>
        <r>
          <rPr>
            <sz val="9"/>
            <color indexed="81"/>
            <rFont val="돋움"/>
            <family val="3"/>
            <charset val="129"/>
          </rPr>
          <t>보험사상품으로</t>
        </r>
        <r>
          <rPr>
            <sz val="9"/>
            <color indexed="81"/>
            <rFont val="Tahoma"/>
            <family val="2"/>
          </rPr>
          <t xml:space="preserve"> </t>
        </r>
        <r>
          <rPr>
            <sz val="9"/>
            <color indexed="81"/>
            <rFont val="돋움"/>
            <family val="3"/>
            <charset val="129"/>
          </rPr>
          <t>들어갈경우</t>
        </r>
        <r>
          <rPr>
            <sz val="9"/>
            <color indexed="81"/>
            <rFont val="Tahoma"/>
            <family val="2"/>
          </rPr>
          <t xml:space="preserve"> </t>
        </r>
        <r>
          <rPr>
            <sz val="9"/>
            <color indexed="81"/>
            <rFont val="돋움"/>
            <family val="3"/>
            <charset val="129"/>
          </rPr>
          <t>직접입력</t>
        </r>
        <r>
          <rPr>
            <sz val="9"/>
            <color indexed="81"/>
            <rFont val="Tahoma"/>
            <family val="2"/>
          </rPr>
          <t>!</t>
        </r>
      </text>
    </comment>
    <comment ref="Q74" authorId="0" shapeId="0" xr:uid="{FB82E09C-0C6B-4B1E-9084-DD66454D5666}">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75" authorId="0" shapeId="0" xr:uid="{4FE6D1DA-C855-4A57-AD07-926B02A3E46B}">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76" authorId="0" shapeId="0" xr:uid="{5D993217-5862-41F9-AA98-51FCC9DDFA59}">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77" authorId="0" shapeId="0" xr:uid="{AEF411D7-605A-493A-ACA6-352780998832}">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78" authorId="0" shapeId="0" xr:uid="{FA53BC2A-0E24-48B6-9226-37CB21184EFB}">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79" authorId="0" shapeId="0" xr:uid="{BAAEC1F9-4BC9-476E-B9D5-84C10D11A3F6}">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80" authorId="0" shapeId="0" xr:uid="{00516539-6C17-4B87-A55D-C979A142D380}">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81" authorId="0" shapeId="0" xr:uid="{BF6CD113-4C57-4976-9141-B33EEBEA0342}">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82" authorId="0" shapeId="0" xr:uid="{332E2D24-E49C-4E84-8B40-D2F2B2AD819B}">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83" authorId="0" shapeId="0" xr:uid="{879FB3DC-02C0-46C0-966E-C68209B738DC}">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84" authorId="0" shapeId="0" xr:uid="{9A134B10-1C52-4EA2-8DC2-C8A7E9694B06}">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85" authorId="0" shapeId="0" xr:uid="{DA6D087C-A2D8-48D5-9EBB-7FE3EC5B5C40}">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86" authorId="0" shapeId="0" xr:uid="{9249E0DC-9FB3-4355-BDB8-E2795A1D9DF4}">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87" authorId="0" shapeId="0" xr:uid="{465DCE02-0E09-4BD4-B119-1C7B5B3D3977}">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88" authorId="0" shapeId="0" xr:uid="{17E77080-A29D-45EB-9BA3-AEC84859BBF5}">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89" authorId="0" shapeId="0" xr:uid="{66283065-7E57-408F-BBCB-BD42D76691AD}">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90" authorId="0" shapeId="0" xr:uid="{FB16A3FA-19E9-462E-A351-C09FE9156315}">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91" authorId="0" shapeId="0" xr:uid="{7824DFDF-329E-48F1-B664-0C894C7386EA}">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92" authorId="0" shapeId="0" xr:uid="{8B1B8386-6E97-44B0-8E30-79C594F60520}">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93" authorId="0" shapeId="0" xr:uid="{076221F6-E167-4AFB-804E-3C6C0F11C056}">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95" authorId="0" shapeId="0" xr:uid="{1E6080BA-E191-4ACB-949F-798437BD0044}">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96" authorId="0" shapeId="0" xr:uid="{47B4FE0C-4389-4A42-9670-40C4DCB10271}">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97" authorId="0" shapeId="0" xr:uid="{6C8D3389-11D2-481D-BF8F-B11BD80A5B92}">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00" authorId="0" shapeId="0" xr:uid="{C38D46A9-EF39-4AC7-B977-78E4A4EFB248}">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01" authorId="0" shapeId="0" xr:uid="{E04668CB-4B50-4D9E-82DB-F47C8A569EA0}">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02" authorId="0" shapeId="0" xr:uid="{6716A139-9D7E-4040-95CE-2669149EC2BC}">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03" authorId="0" shapeId="0" xr:uid="{7B77D05E-2A21-45D1-85C5-D8BDDB59DA47}">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04" authorId="0" shapeId="0" xr:uid="{FF1F13CE-4E49-4C58-B04D-D03F52CFACC1}">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05" authorId="0" shapeId="0" xr:uid="{1E28CBDD-1EAE-4765-97FE-08D053F8CD64}">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06" authorId="0" shapeId="0" xr:uid="{7F586039-81FE-4EDC-B624-4023548050E7}">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07" authorId="0" shapeId="0" xr:uid="{A6F7792B-E6B1-4306-A632-610AE4C64D27}">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08" authorId="0" shapeId="0" xr:uid="{E91B2BC3-502C-4F9F-9660-EE7BBC0715B4}">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09" authorId="0" shapeId="0" xr:uid="{7C4FC872-C99D-4DF8-9EE6-E89CB3E2B583}">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10" authorId="0" shapeId="0" xr:uid="{E0A68D97-CAC1-4136-AE50-62AF2CF85E2D}">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11" authorId="0" shapeId="0" xr:uid="{34A5CD03-9F01-4BA1-B91D-D84DFD23FF03}">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12" authorId="0" shapeId="0" xr:uid="{0D73F1FF-35FB-478D-9732-68644AB47CCD}">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13" authorId="0" shapeId="0" xr:uid="{7DEE1B1E-F6D6-4A42-8229-C312D3C5D450}">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14" authorId="0" shapeId="0" xr:uid="{94C7EAF4-971A-42BB-8CEA-1CDF6D5EF781}">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15" authorId="0" shapeId="0" xr:uid="{D0F5AEDC-CA89-4F64-9274-2357685DE8AC}">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16" authorId="0" shapeId="0" xr:uid="{906ACFCD-5418-4256-96FD-34B4B3FD08F1}">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17" authorId="0" shapeId="0" xr:uid="{8D644C36-9995-4EBE-9B21-E7A060293267}">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18" authorId="0" shapeId="0" xr:uid="{4F518F9D-A7A6-4DCE-9F88-7447F6C0F23E}">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19" authorId="0" shapeId="0" xr:uid="{49749AC3-7CF3-4A44-9F9F-87294DDE198D}">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20" authorId="0" shapeId="0" xr:uid="{8A09957B-271A-4A8D-BCB5-63E073ABC95B}">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21" authorId="0" shapeId="0" xr:uid="{43FF30E7-0BA5-47D7-8B17-83D90CE2006E}">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22" authorId="0" shapeId="0" xr:uid="{53AAC74E-7B40-4561-A707-C058DC6F5B1D}">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24" authorId="0" shapeId="0" xr:uid="{7E950857-4D15-4CD0-BD81-253EC3581344}">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26" authorId="0" shapeId="0" xr:uid="{213B8E06-7CAB-4296-B52F-4BE673032CC5}">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27" authorId="0" shapeId="0" xr:uid="{567C4FA8-C5C9-4980-8BB1-C15D5DEA8282}">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28" authorId="0" shapeId="0" xr:uid="{A7947DCE-CFEA-4DAE-B039-95267FC80795}">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29" authorId="0" shapeId="0" xr:uid="{AD416086-8A46-44F2-9787-201FB253D55E}">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30" authorId="0" shapeId="0" xr:uid="{D7B14969-5C9E-4773-AF19-3BB9DB7CDC93}">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31" authorId="0" shapeId="0" xr:uid="{418025DA-FFD3-4A4C-9B9A-015F626357E5}">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33" authorId="0" shapeId="0" xr:uid="{E7DDD261-E598-492F-BECB-77F615B20E33}">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34" authorId="0" shapeId="0" xr:uid="{5ED9BBC6-C7AA-4C2D-A497-5BDBF3943899}">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35" authorId="0" shapeId="0" xr:uid="{DD9256B8-DBDC-4872-A916-C22EC5957F6C}">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36" authorId="0" shapeId="0" xr:uid="{17BF0B42-9B53-4E63-8529-0B885B99DC57}">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37" authorId="0" shapeId="0" xr:uid="{A63C5409-EA1A-44C7-9C80-B3859ED2C205}">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38" authorId="0" shapeId="0" xr:uid="{8001AFB7-2CD0-4136-A80F-09CA87C44428}">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39" authorId="0" shapeId="0" xr:uid="{5DCE6981-1507-487A-B747-E4E15E0AC415}">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40" authorId="0" shapeId="0" xr:uid="{EBADF568-7EFC-4BC9-A11D-B1835A59BB1D}">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41" authorId="0" shapeId="0" xr:uid="{FA92AEC0-78E4-45C3-AB6E-32D9587E81E5}">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42" authorId="0" shapeId="0" xr:uid="{4AADFFFD-8A0B-45E4-B7E4-7635F99ED371}">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43" authorId="0" shapeId="0" xr:uid="{9AB51E6F-CF7A-426A-8EC2-36CE1A1C1CC2}">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44" authorId="0" shapeId="0" xr:uid="{FC3D90F2-BD6B-4440-9DD3-73CDAEC2F991}">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45" authorId="0" shapeId="0" xr:uid="{F3339212-1B39-4AF8-803D-B9ABF63E5955}">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46" authorId="0" shapeId="0" xr:uid="{3ECCE4ED-B03A-4F98-ADF2-F2D214E42E1A}">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47" authorId="0" shapeId="0" xr:uid="{C138CE66-17C1-4130-9337-86BE9D93FA34}">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48" authorId="0" shapeId="0" xr:uid="{119E1CA0-CC41-4920-8647-B03BE5E9D3F3}">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49" authorId="0" shapeId="0" xr:uid="{EAACE1B3-D1FB-4AB5-B083-71E7B115BBCF}">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51" authorId="0" shapeId="0" xr:uid="{22B83596-3B0F-4DD0-B81E-C498FB8E3036}">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52" authorId="0" shapeId="0" xr:uid="{A1DBC74E-5CAA-490D-B570-3E7CE534DDCA}">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53" authorId="0" shapeId="0" xr:uid="{137F96E7-EE15-431A-A27C-83861F0D0923}">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56" authorId="0" shapeId="0" xr:uid="{557EFDB0-0813-44F2-BCDB-ABEB73D214DF}">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57" authorId="0" shapeId="0" xr:uid="{207CF509-BAA8-4FEA-ACCF-B34EF6DB1301}">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 ref="Q158" authorId="0" shapeId="0" xr:uid="{7E1343B1-0ECC-4394-8334-7807C42A85CF}">
      <text>
        <r>
          <rPr>
            <b/>
            <sz val="9"/>
            <color indexed="81"/>
            <rFont val="돋움"/>
            <family val="3"/>
            <charset val="129"/>
          </rPr>
          <t>이홍섭</t>
        </r>
        <r>
          <rPr>
            <b/>
            <sz val="9"/>
            <color indexed="81"/>
            <rFont val="Tahoma"/>
            <family val="2"/>
          </rPr>
          <t>:</t>
        </r>
        <r>
          <rPr>
            <sz val="9"/>
            <color indexed="81"/>
            <rFont val="Tahoma"/>
            <family val="2"/>
          </rPr>
          <t xml:space="preserve">
</t>
        </r>
        <r>
          <rPr>
            <b/>
            <sz val="10"/>
            <color indexed="81"/>
            <rFont val="맑은 고딕"/>
            <family val="3"/>
            <charset val="129"/>
            <scheme val="major"/>
          </rPr>
          <t>빈칸</t>
        </r>
        <r>
          <rPr>
            <b/>
            <sz val="10"/>
            <color indexed="81"/>
            <rFont val="맑은 고딕"/>
            <family val="2"/>
            <scheme val="major"/>
          </rPr>
          <t>, 0개월</t>
        </r>
        <r>
          <rPr>
            <b/>
            <sz val="10"/>
            <color indexed="81"/>
            <rFont val="맑은 고딕"/>
            <family val="3"/>
            <charset val="129"/>
            <scheme val="major"/>
          </rPr>
          <t xml:space="preserve"> = 기준개월수
개월수입력시 해당개월수로</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이홍섭</author>
  </authors>
  <commentList>
    <comment ref="I2" authorId="0" shapeId="0" xr:uid="{107BAAAA-7B0E-4EEB-A8FA-4FBA73035112}">
      <text>
        <r>
          <rPr>
            <b/>
            <sz val="10"/>
            <color indexed="81"/>
            <rFont val="돋움"/>
            <family val="3"/>
            <charset val="129"/>
          </rPr>
          <t>추경작성인 경우 클릭</t>
        </r>
        <r>
          <rPr>
            <sz val="9"/>
            <color indexed="81"/>
            <rFont val="Tahoma"/>
            <family val="2"/>
          </rPr>
          <t xml:space="preserve">
</t>
        </r>
      </text>
    </comment>
    <comment ref="AW10" authorId="0" shapeId="0" xr:uid="{49F239F3-6A03-427B-99CA-ECD0EF1D4BE0}">
      <text>
        <r>
          <rPr>
            <b/>
            <sz val="9"/>
            <color indexed="81"/>
            <rFont val="돋움"/>
            <family val="3"/>
            <charset val="129"/>
          </rPr>
          <t>이홍섭</t>
        </r>
        <r>
          <rPr>
            <b/>
            <sz val="9"/>
            <color indexed="81"/>
            <rFont val="Tahoma"/>
            <family val="2"/>
          </rPr>
          <t>:</t>
        </r>
        <r>
          <rPr>
            <sz val="9"/>
            <color indexed="81"/>
            <rFont val="Tahoma"/>
            <family val="2"/>
          </rPr>
          <t xml:space="preserve">
</t>
        </r>
        <r>
          <rPr>
            <b/>
            <sz val="9"/>
            <color indexed="81"/>
            <rFont val="돋움"/>
            <family val="3"/>
            <charset val="129"/>
          </rPr>
          <t>퇴직적립금이</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근로자는</t>
        </r>
        <r>
          <rPr>
            <b/>
            <sz val="9"/>
            <color indexed="81"/>
            <rFont val="Tahoma"/>
            <family val="2"/>
          </rPr>
          <t xml:space="preserve"> </t>
        </r>
        <r>
          <rPr>
            <b/>
            <sz val="9"/>
            <color indexed="81"/>
            <rFont val="돋움"/>
            <family val="3"/>
            <charset val="129"/>
          </rPr>
          <t>여기서</t>
        </r>
        <r>
          <rPr>
            <b/>
            <sz val="9"/>
            <color indexed="81"/>
            <rFont val="Tahoma"/>
            <family val="2"/>
          </rPr>
          <t xml:space="preserve"> </t>
        </r>
        <r>
          <rPr>
            <b/>
            <sz val="9"/>
            <color indexed="81"/>
            <rFont val="돋움"/>
            <family val="3"/>
            <charset val="129"/>
          </rPr>
          <t>삭제</t>
        </r>
        <r>
          <rPr>
            <b/>
            <sz val="9"/>
            <color indexed="81"/>
            <rFont val="Tahoma"/>
            <family val="2"/>
          </rPr>
          <t>!</t>
        </r>
      </text>
    </comment>
    <comment ref="E32" authorId="0" shapeId="0" xr:uid="{B861188A-C984-448E-BF20-A383EFC3356E}">
      <text>
        <r>
          <rPr>
            <b/>
            <sz val="9"/>
            <color indexed="81"/>
            <rFont val="돋움"/>
            <family val="3"/>
            <charset val="129"/>
          </rPr>
          <t>이홍섭</t>
        </r>
        <r>
          <rPr>
            <b/>
            <sz val="9"/>
            <color indexed="81"/>
            <rFont val="Tahoma"/>
            <family val="2"/>
          </rPr>
          <t>:</t>
        </r>
        <r>
          <rPr>
            <sz val="9"/>
            <color indexed="81"/>
            <rFont val="Tahoma"/>
            <family val="2"/>
          </rPr>
          <t xml:space="preserve">
</t>
        </r>
        <r>
          <rPr>
            <sz val="9"/>
            <color indexed="81"/>
            <rFont val="돋움"/>
            <family val="3"/>
            <charset val="129"/>
          </rPr>
          <t>공공요금의</t>
        </r>
        <r>
          <rPr>
            <sz val="9"/>
            <color indexed="81"/>
            <rFont val="Tahoma"/>
            <family val="2"/>
          </rPr>
          <t xml:space="preserve"> </t>
        </r>
        <r>
          <rPr>
            <sz val="9"/>
            <color indexed="81"/>
            <rFont val="돋움"/>
            <family val="3"/>
            <charset val="129"/>
          </rPr>
          <t>비율입력
나머지는</t>
        </r>
        <r>
          <rPr>
            <sz val="9"/>
            <color indexed="81"/>
            <rFont val="Tahoma"/>
            <family val="2"/>
          </rPr>
          <t xml:space="preserve"> </t>
        </r>
        <r>
          <rPr>
            <sz val="9"/>
            <color indexed="81"/>
            <rFont val="돋움"/>
            <family val="3"/>
            <charset val="129"/>
          </rPr>
          <t>제세공과금</t>
        </r>
      </text>
    </comment>
    <comment ref="AW62" authorId="0" shapeId="0" xr:uid="{C76D3CFF-9E5F-462D-81F8-F09BDEDED723}">
      <text>
        <r>
          <rPr>
            <b/>
            <sz val="9"/>
            <color indexed="81"/>
            <rFont val="돋움"/>
            <family val="3"/>
            <charset val="129"/>
          </rPr>
          <t>이홍섭</t>
        </r>
        <r>
          <rPr>
            <b/>
            <sz val="9"/>
            <color indexed="81"/>
            <rFont val="Tahoma"/>
            <family val="2"/>
          </rPr>
          <t>:</t>
        </r>
        <r>
          <rPr>
            <sz val="9"/>
            <color indexed="81"/>
            <rFont val="Tahoma"/>
            <family val="2"/>
          </rPr>
          <t xml:space="preserve">
</t>
        </r>
        <r>
          <rPr>
            <b/>
            <sz val="9"/>
            <color indexed="81"/>
            <rFont val="돋움"/>
            <family val="3"/>
            <charset val="129"/>
          </rPr>
          <t>퇴직적립금이</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근로자는</t>
        </r>
        <r>
          <rPr>
            <b/>
            <sz val="9"/>
            <color indexed="81"/>
            <rFont val="Tahoma"/>
            <family val="2"/>
          </rPr>
          <t xml:space="preserve"> </t>
        </r>
        <r>
          <rPr>
            <b/>
            <sz val="9"/>
            <color indexed="81"/>
            <rFont val="돋움"/>
            <family val="3"/>
            <charset val="129"/>
          </rPr>
          <t>여기서</t>
        </r>
        <r>
          <rPr>
            <b/>
            <sz val="9"/>
            <color indexed="81"/>
            <rFont val="Tahoma"/>
            <family val="2"/>
          </rPr>
          <t xml:space="preserve"> </t>
        </r>
        <r>
          <rPr>
            <b/>
            <sz val="9"/>
            <color indexed="81"/>
            <rFont val="돋움"/>
            <family val="3"/>
            <charset val="129"/>
          </rPr>
          <t>삭제</t>
        </r>
        <r>
          <rPr>
            <b/>
            <sz val="9"/>
            <color indexed="81"/>
            <rFont val="Tahoma"/>
            <family val="2"/>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이홍섭</author>
  </authors>
  <commentList>
    <comment ref="AE3" authorId="0" shapeId="0" xr:uid="{92AD7AAF-96D2-48BB-B5DF-89DE3C671EA5}">
      <text>
        <r>
          <rPr>
            <b/>
            <sz val="9"/>
            <color indexed="81"/>
            <rFont val="돋움"/>
            <family val="3"/>
            <charset val="129"/>
          </rPr>
          <t>이홍섭</t>
        </r>
        <r>
          <rPr>
            <b/>
            <sz val="9"/>
            <color indexed="81"/>
            <rFont val="Tahoma"/>
            <family val="2"/>
          </rPr>
          <t>:</t>
        </r>
        <r>
          <rPr>
            <sz val="9"/>
            <color indexed="81"/>
            <rFont val="Tahoma"/>
            <family val="2"/>
          </rPr>
          <t xml:space="preserve">
50</t>
        </r>
        <r>
          <rPr>
            <sz val="9"/>
            <color indexed="81"/>
            <rFont val="돋움"/>
            <family val="3"/>
            <charset val="129"/>
          </rPr>
          <t>대이상기준</t>
        </r>
      </text>
    </comment>
    <comment ref="AF22" authorId="0" shapeId="0" xr:uid="{2E4B988B-D6BC-4AA8-90BD-6515A5790637}">
      <text>
        <r>
          <rPr>
            <b/>
            <sz val="9"/>
            <color indexed="81"/>
            <rFont val="돋움"/>
            <family val="3"/>
            <charset val="129"/>
          </rPr>
          <t>이홍섭</t>
        </r>
        <r>
          <rPr>
            <b/>
            <sz val="9"/>
            <color indexed="81"/>
            <rFont val="Tahoma"/>
            <family val="2"/>
          </rPr>
          <t>:</t>
        </r>
        <r>
          <rPr>
            <sz val="9"/>
            <color indexed="81"/>
            <rFont val="Tahoma"/>
            <family val="2"/>
          </rPr>
          <t xml:space="preserve">
7%</t>
        </r>
        <r>
          <rPr>
            <sz val="9"/>
            <color indexed="81"/>
            <rFont val="돋움"/>
            <family val="3"/>
            <charset val="129"/>
          </rPr>
          <t>인상금액</t>
        </r>
      </text>
    </comment>
    <comment ref="AH22" authorId="0" shapeId="0" xr:uid="{FD4696BE-9A1E-4C1F-897A-BFF82A63E309}">
      <text>
        <r>
          <rPr>
            <b/>
            <sz val="9"/>
            <color indexed="81"/>
            <rFont val="돋움"/>
            <family val="3"/>
            <charset val="129"/>
          </rPr>
          <t>이홍섭</t>
        </r>
        <r>
          <rPr>
            <b/>
            <sz val="9"/>
            <color indexed="81"/>
            <rFont val="Tahoma"/>
            <family val="2"/>
          </rPr>
          <t>:</t>
        </r>
        <r>
          <rPr>
            <sz val="9"/>
            <color indexed="81"/>
            <rFont val="Tahoma"/>
            <family val="2"/>
          </rPr>
          <t xml:space="preserve">
7%</t>
        </r>
        <r>
          <rPr>
            <sz val="9"/>
            <color indexed="81"/>
            <rFont val="돋움"/>
            <family val="3"/>
            <charset val="129"/>
          </rPr>
          <t>인상금액</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이홍섭</author>
  </authors>
  <commentList>
    <comment ref="H1" authorId="0" shapeId="0" xr:uid="{C10380ED-04D3-49C7-AD41-8A134C351C28}">
      <text>
        <r>
          <rPr>
            <b/>
            <sz val="9"/>
            <color indexed="81"/>
            <rFont val="돋움"/>
            <family val="3"/>
            <charset val="129"/>
          </rPr>
          <t>이홍섭</t>
        </r>
        <r>
          <rPr>
            <b/>
            <sz val="9"/>
            <color indexed="81"/>
            <rFont val="Tahoma"/>
            <family val="2"/>
          </rPr>
          <t>:</t>
        </r>
        <r>
          <rPr>
            <sz val="9"/>
            <color indexed="81"/>
            <rFont val="Tahoma"/>
            <family val="2"/>
          </rPr>
          <t xml:space="preserve">
</t>
        </r>
        <r>
          <rPr>
            <sz val="9"/>
            <color indexed="81"/>
            <rFont val="돋움"/>
            <family val="3"/>
            <charset val="129"/>
          </rPr>
          <t>차입금사전신고서</t>
        </r>
        <r>
          <rPr>
            <sz val="9"/>
            <color indexed="81"/>
            <rFont val="Tahoma"/>
            <family val="2"/>
          </rPr>
          <t xml:space="preserve"> </t>
        </r>
        <r>
          <rPr>
            <sz val="9"/>
            <color indexed="81"/>
            <rFont val="돋움"/>
            <family val="3"/>
            <charset val="129"/>
          </rPr>
          <t>작성시</t>
        </r>
        <r>
          <rPr>
            <sz val="9"/>
            <color indexed="81"/>
            <rFont val="Tahoma"/>
            <family val="2"/>
          </rPr>
          <t xml:space="preserve"> </t>
        </r>
        <r>
          <rPr>
            <sz val="9"/>
            <color indexed="81"/>
            <rFont val="돋움"/>
            <family val="3"/>
            <charset val="129"/>
          </rPr>
          <t>대표자명</t>
        </r>
        <r>
          <rPr>
            <sz val="9"/>
            <color indexed="81"/>
            <rFont val="Tahoma"/>
            <family val="2"/>
          </rPr>
          <t xml:space="preserve"> </t>
        </r>
        <r>
          <rPr>
            <sz val="9"/>
            <color indexed="81"/>
            <rFont val="돋움"/>
            <family val="3"/>
            <charset val="129"/>
          </rPr>
          <t>필수</t>
        </r>
      </text>
    </comment>
    <comment ref="AW10" authorId="0" shapeId="0" xr:uid="{17C4C1A6-06B2-47EF-8E75-E4A9DD16BB5E}">
      <text>
        <r>
          <rPr>
            <b/>
            <sz val="9"/>
            <color indexed="81"/>
            <rFont val="돋움"/>
            <family val="3"/>
            <charset val="129"/>
          </rPr>
          <t>이홍섭</t>
        </r>
        <r>
          <rPr>
            <b/>
            <sz val="9"/>
            <color indexed="81"/>
            <rFont val="Tahoma"/>
            <family val="2"/>
          </rPr>
          <t>:</t>
        </r>
        <r>
          <rPr>
            <sz val="9"/>
            <color indexed="81"/>
            <rFont val="Tahoma"/>
            <family val="2"/>
          </rPr>
          <t xml:space="preserve">
</t>
        </r>
        <r>
          <rPr>
            <b/>
            <sz val="9"/>
            <color indexed="81"/>
            <rFont val="돋움"/>
            <family val="3"/>
            <charset val="129"/>
          </rPr>
          <t>퇴직적립금이</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근로자는</t>
        </r>
        <r>
          <rPr>
            <b/>
            <sz val="9"/>
            <color indexed="81"/>
            <rFont val="Tahoma"/>
            <family val="2"/>
          </rPr>
          <t xml:space="preserve"> </t>
        </r>
        <r>
          <rPr>
            <b/>
            <sz val="9"/>
            <color indexed="81"/>
            <rFont val="돋움"/>
            <family val="3"/>
            <charset val="129"/>
          </rPr>
          <t>여기서</t>
        </r>
        <r>
          <rPr>
            <b/>
            <sz val="9"/>
            <color indexed="81"/>
            <rFont val="Tahoma"/>
            <family val="2"/>
          </rPr>
          <t xml:space="preserve"> </t>
        </r>
        <r>
          <rPr>
            <b/>
            <sz val="9"/>
            <color indexed="81"/>
            <rFont val="돋움"/>
            <family val="3"/>
            <charset val="129"/>
          </rPr>
          <t>삭제</t>
        </r>
        <r>
          <rPr>
            <b/>
            <sz val="9"/>
            <color indexed="81"/>
            <rFont val="Tahoma"/>
            <family val="2"/>
          </rPr>
          <t>!</t>
        </r>
      </text>
    </comment>
    <comment ref="E32" authorId="0" shapeId="0" xr:uid="{E9DB5F3C-B43B-4B0F-B5F0-70A00B5DF2BF}">
      <text>
        <r>
          <rPr>
            <b/>
            <sz val="9"/>
            <color indexed="81"/>
            <rFont val="돋움"/>
            <family val="3"/>
            <charset val="129"/>
          </rPr>
          <t>이홍섭</t>
        </r>
        <r>
          <rPr>
            <b/>
            <sz val="9"/>
            <color indexed="81"/>
            <rFont val="Tahoma"/>
            <family val="2"/>
          </rPr>
          <t>:</t>
        </r>
        <r>
          <rPr>
            <sz val="9"/>
            <color indexed="81"/>
            <rFont val="Tahoma"/>
            <family val="2"/>
          </rPr>
          <t xml:space="preserve">
</t>
        </r>
        <r>
          <rPr>
            <sz val="9"/>
            <color indexed="81"/>
            <rFont val="돋움"/>
            <family val="3"/>
            <charset val="129"/>
          </rPr>
          <t>공공요금의</t>
        </r>
        <r>
          <rPr>
            <sz val="9"/>
            <color indexed="81"/>
            <rFont val="Tahoma"/>
            <family val="2"/>
          </rPr>
          <t xml:space="preserve"> </t>
        </r>
        <r>
          <rPr>
            <sz val="9"/>
            <color indexed="81"/>
            <rFont val="돋움"/>
            <family val="3"/>
            <charset val="129"/>
          </rPr>
          <t>비율입력
나머지는</t>
        </r>
        <r>
          <rPr>
            <sz val="9"/>
            <color indexed="81"/>
            <rFont val="Tahoma"/>
            <family val="2"/>
          </rPr>
          <t xml:space="preserve"> </t>
        </r>
        <r>
          <rPr>
            <sz val="9"/>
            <color indexed="81"/>
            <rFont val="돋움"/>
            <family val="3"/>
            <charset val="129"/>
          </rPr>
          <t>제세공과금</t>
        </r>
      </text>
    </comment>
    <comment ref="AW62" authorId="0" shapeId="0" xr:uid="{E8427585-09D1-40D5-8A7E-6E3796252E53}">
      <text>
        <r>
          <rPr>
            <b/>
            <sz val="9"/>
            <color indexed="81"/>
            <rFont val="돋움"/>
            <family val="3"/>
            <charset val="129"/>
          </rPr>
          <t>이홍섭</t>
        </r>
        <r>
          <rPr>
            <b/>
            <sz val="9"/>
            <color indexed="81"/>
            <rFont val="Tahoma"/>
            <family val="2"/>
          </rPr>
          <t>:</t>
        </r>
        <r>
          <rPr>
            <sz val="9"/>
            <color indexed="81"/>
            <rFont val="Tahoma"/>
            <family val="2"/>
          </rPr>
          <t xml:space="preserve">
</t>
        </r>
        <r>
          <rPr>
            <b/>
            <sz val="9"/>
            <color indexed="81"/>
            <rFont val="돋움"/>
            <family val="3"/>
            <charset val="129"/>
          </rPr>
          <t>퇴직적립금이</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근로자는</t>
        </r>
        <r>
          <rPr>
            <b/>
            <sz val="9"/>
            <color indexed="81"/>
            <rFont val="Tahoma"/>
            <family val="2"/>
          </rPr>
          <t xml:space="preserve"> </t>
        </r>
        <r>
          <rPr>
            <b/>
            <sz val="9"/>
            <color indexed="81"/>
            <rFont val="돋움"/>
            <family val="3"/>
            <charset val="129"/>
          </rPr>
          <t>여기서</t>
        </r>
        <r>
          <rPr>
            <b/>
            <sz val="9"/>
            <color indexed="81"/>
            <rFont val="Tahoma"/>
            <family val="2"/>
          </rPr>
          <t xml:space="preserve"> </t>
        </r>
        <r>
          <rPr>
            <b/>
            <sz val="9"/>
            <color indexed="81"/>
            <rFont val="돋움"/>
            <family val="3"/>
            <charset val="129"/>
          </rPr>
          <t>삭제</t>
        </r>
        <r>
          <rPr>
            <b/>
            <sz val="9"/>
            <color indexed="81"/>
            <rFont val="Tahoma"/>
            <family val="2"/>
          </rPr>
          <t>!</t>
        </r>
      </text>
    </comment>
  </commentList>
</comments>
</file>

<file path=xl/sharedStrings.xml><?xml version="1.0" encoding="utf-8"?>
<sst xmlns="http://schemas.openxmlformats.org/spreadsheetml/2006/main" count="7785" uniqueCount="904">
  <si>
    <t>순번</t>
  </si>
  <si>
    <t>세목</t>
  </si>
  <si>
    <t>계정코드</t>
  </si>
  <si>
    <t>운영충당적립금</t>
  </si>
  <si>
    <t>입소(이용)비용수입</t>
  </si>
  <si>
    <t>본인부담금수입</t>
  </si>
  <si>
    <t>수익사업</t>
  </si>
  <si>
    <t>식재료비수입</t>
  </si>
  <si>
    <t>상급침실이용료</t>
  </si>
  <si>
    <t>이미용비</t>
  </si>
  <si>
    <t>기타비급여수입</t>
  </si>
  <si>
    <t>사업수입</t>
  </si>
  <si>
    <t>과년도수입</t>
  </si>
  <si>
    <t>국고보조금</t>
  </si>
  <si>
    <t>보조금</t>
  </si>
  <si>
    <t>시도보조금</t>
  </si>
  <si>
    <t>시군구보조금</t>
  </si>
  <si>
    <t>기타보조금</t>
  </si>
  <si>
    <t>지정후원금</t>
  </si>
  <si>
    <t>후원금</t>
  </si>
  <si>
    <t>비지정후원금</t>
  </si>
  <si>
    <t>장기요양급여수입(인건비비율 반영)</t>
  </si>
  <si>
    <t>장기요양급여수입(인건비비율 미반영)</t>
  </si>
  <si>
    <t>가산금수입(인건비비율 반영)</t>
  </si>
  <si>
    <t>가산금수입(인건비비율 미반영)</t>
  </si>
  <si>
    <t>금융기관차입금</t>
  </si>
  <si>
    <t>기타차입금</t>
  </si>
  <si>
    <t>법인전입금</t>
  </si>
  <si>
    <t>법인전입금(후원금)</t>
  </si>
  <si>
    <t>기타전입금</t>
  </si>
  <si>
    <t>기타전입금(후원금)</t>
  </si>
  <si>
    <t>전년도이월금</t>
  </si>
  <si>
    <t>전년도이월금(후원금)</t>
  </si>
  <si>
    <t>전년도이월금(식재료비)</t>
  </si>
  <si>
    <t>이월사업비</t>
  </si>
  <si>
    <t>불용품매각대</t>
  </si>
  <si>
    <t>기타예금이자수입</t>
  </si>
  <si>
    <t>직원식재료수입</t>
  </si>
  <si>
    <t>기타잡수입</t>
  </si>
  <si>
    <t>인건비</t>
  </si>
  <si>
    <t>급여(직접비)</t>
  </si>
  <si>
    <t>급여(간접비)</t>
  </si>
  <si>
    <t>각종수당(직접비)</t>
  </si>
  <si>
    <t>각종수당(간접비)</t>
  </si>
  <si>
    <t>일용잡급(직접비)</t>
  </si>
  <si>
    <t>일용잡급(간접비)</t>
  </si>
  <si>
    <t>퇴직금 및 퇴직적립금(직접비)</t>
  </si>
  <si>
    <t>퇴직금 및 퇴직적립금(간접비)</t>
  </si>
  <si>
    <t>사회보험부담금(직접비)</t>
  </si>
  <si>
    <t>사회보험부담금(간접비)</t>
  </si>
  <si>
    <t>기관운영비</t>
  </si>
  <si>
    <t>직책보조비</t>
  </si>
  <si>
    <t>회의비</t>
  </si>
  <si>
    <t>여비</t>
  </si>
  <si>
    <t>수용비 및 수수료</t>
  </si>
  <si>
    <t>차량비</t>
  </si>
  <si>
    <t>임차료</t>
  </si>
  <si>
    <t>기타운영비</t>
  </si>
  <si>
    <t>시설비</t>
  </si>
  <si>
    <t>자산취득비</t>
  </si>
  <si>
    <t>시설장비유지비</t>
  </si>
  <si>
    <t>생계비</t>
  </si>
  <si>
    <t>수용기관경비</t>
  </si>
  <si>
    <t>의료비</t>
  </si>
  <si>
    <t>장의비</t>
  </si>
  <si>
    <t>프로그램 사업비</t>
  </si>
  <si>
    <t>법인회계전출금</t>
  </si>
  <si>
    <t>기타전출금</t>
  </si>
  <si>
    <t>과년도지출</t>
  </si>
  <si>
    <t>원금상환금</t>
  </si>
  <si>
    <t>이자지불금</t>
  </si>
  <si>
    <t>잡지출</t>
  </si>
  <si>
    <t>예비비</t>
  </si>
  <si>
    <t>반환금</t>
  </si>
  <si>
    <t>시설환경 개선준비금</t>
  </si>
  <si>
    <t>예산액
(수익사업)</t>
    <phoneticPr fontId="1" type="noConversion"/>
  </si>
  <si>
    <t>예산액
(보조금)</t>
    <phoneticPr fontId="1" type="noConversion"/>
  </si>
  <si>
    <t>예산액
(후원금)</t>
    <phoneticPr fontId="1" type="noConversion"/>
  </si>
  <si>
    <t>증감</t>
    <phoneticPr fontId="1" type="noConversion"/>
  </si>
  <si>
    <t>참고용 결산서
(최소금액*100%)</t>
    <phoneticPr fontId="1" type="noConversion"/>
  </si>
  <si>
    <t>수익사업</t>
    <phoneticPr fontId="1" type="noConversion"/>
  </si>
  <si>
    <t>보조금</t>
    <phoneticPr fontId="1" type="noConversion"/>
  </si>
  <si>
    <t>후원금</t>
    <phoneticPr fontId="1" type="noConversion"/>
  </si>
  <si>
    <t>06</t>
  </si>
  <si>
    <t>07</t>
  </si>
  <si>
    <t>05</t>
  </si>
  <si>
    <t>세입 합계</t>
    <phoneticPr fontId="1" type="noConversion"/>
  </si>
  <si>
    <t>세출 합계</t>
    <phoneticPr fontId="1" type="noConversion"/>
  </si>
  <si>
    <t>세입 - 세출 합계</t>
    <phoneticPr fontId="1" type="noConversion"/>
  </si>
  <si>
    <t>산출액</t>
    <phoneticPr fontId="1" type="noConversion"/>
  </si>
  <si>
    <t>수정금지</t>
    <phoneticPr fontId="1" type="noConversion"/>
  </si>
  <si>
    <t>계산값</t>
    <phoneticPr fontId="1" type="noConversion"/>
  </si>
  <si>
    <t>항목</t>
    <phoneticPr fontId="10" type="noConversion"/>
  </si>
  <si>
    <t>구분</t>
    <phoneticPr fontId="1" type="noConversion"/>
  </si>
  <si>
    <t>금액</t>
    <phoneticPr fontId="10" type="noConversion"/>
  </si>
  <si>
    <t>인원/횟수</t>
    <phoneticPr fontId="10" type="noConversion"/>
  </si>
  <si>
    <t>일수</t>
    <phoneticPr fontId="10" type="noConversion"/>
  </si>
  <si>
    <t>세입예산내역</t>
    <phoneticPr fontId="1" type="noConversion"/>
  </si>
  <si>
    <t>시군구보조금</t>
    <phoneticPr fontId="10" type="noConversion"/>
  </si>
  <si>
    <t>보조금</t>
    <phoneticPr fontId="1" type="noConversion"/>
  </si>
  <si>
    <t>월동대책비</t>
    <phoneticPr fontId="10" type="noConversion"/>
  </si>
  <si>
    <t>특별위로금</t>
    <phoneticPr fontId="10" type="noConversion"/>
  </si>
  <si>
    <t>시설</t>
  </si>
  <si>
    <t>1등급</t>
    <phoneticPr fontId="1" type="noConversion"/>
  </si>
  <si>
    <t>2등급</t>
  </si>
  <si>
    <t>3등급</t>
  </si>
  <si>
    <t>공생</t>
  </si>
  <si>
    <t>1등급</t>
  </si>
  <si>
    <t>주야간</t>
  </si>
  <si>
    <t>3등급</t>
    <phoneticPr fontId="1" type="noConversion"/>
  </si>
  <si>
    <t>4등급</t>
  </si>
  <si>
    <t>5등급</t>
  </si>
  <si>
    <t>단기</t>
  </si>
  <si>
    <t>방문요양</t>
    <phoneticPr fontId="10" type="noConversion"/>
  </si>
  <si>
    <t>명</t>
  </si>
  <si>
    <t>가족요양</t>
    <phoneticPr fontId="10" type="noConversion"/>
  </si>
  <si>
    <t>방문목욕</t>
    <phoneticPr fontId="10" type="noConversion"/>
  </si>
  <si>
    <t>차량O</t>
  </si>
  <si>
    <t>차량X</t>
  </si>
  <si>
    <t>방문간호</t>
    <phoneticPr fontId="10" type="noConversion"/>
  </si>
  <si>
    <t>횟수</t>
  </si>
  <si>
    <t>복지용구평균금액</t>
    <phoneticPr fontId="1" type="noConversion"/>
  </si>
  <si>
    <t>기초수급자</t>
    <phoneticPr fontId="1" type="noConversion"/>
  </si>
  <si>
    <t>복지용구</t>
    <phoneticPr fontId="1" type="noConversion"/>
  </si>
  <si>
    <t>식재료비수입</t>
    <phoneticPr fontId="10" type="noConversion"/>
  </si>
  <si>
    <t>후원금</t>
    <phoneticPr fontId="1" type="noConversion"/>
  </si>
  <si>
    <t>1년합계</t>
    <phoneticPr fontId="1" type="noConversion"/>
  </si>
  <si>
    <t>기타잡수입</t>
    <phoneticPr fontId="1" type="noConversion"/>
  </si>
  <si>
    <t>보수일람표</t>
    <phoneticPr fontId="1" type="noConversion"/>
  </si>
  <si>
    <t>산출내역</t>
    <phoneticPr fontId="1" type="noConversion"/>
  </si>
  <si>
    <t>수용기관경비</t>
    <phoneticPr fontId="1" type="noConversion"/>
  </si>
  <si>
    <t>대여용구취득비</t>
    <phoneticPr fontId="1" type="noConversion"/>
  </si>
  <si>
    <t>판매용구취득비</t>
    <phoneticPr fontId="1" type="noConversion"/>
  </si>
  <si>
    <t>자금원천</t>
    <phoneticPr fontId="1" type="noConversion"/>
  </si>
  <si>
    <t>계정과목</t>
    <phoneticPr fontId="1" type="noConversion"/>
  </si>
  <si>
    <t/>
  </si>
  <si>
    <t>세출예산내역( 개월 )</t>
  </si>
  <si>
    <t>인지지원등급</t>
    <phoneticPr fontId="1" type="noConversion"/>
  </si>
  <si>
    <t>가산금수입(인건비비율 반영)</t>
    <phoneticPr fontId="1" type="noConversion"/>
  </si>
  <si>
    <t>월별금액X개월수</t>
    <phoneticPr fontId="1" type="noConversion"/>
  </si>
  <si>
    <t>1인월별금액X직원수X개월수</t>
    <phoneticPr fontId="1" type="noConversion"/>
  </si>
  <si>
    <t>1년합계(산출내역)</t>
    <phoneticPr fontId="1" type="noConversion"/>
  </si>
  <si>
    <t>1년합계(보험사상품)</t>
    <phoneticPr fontId="1" type="noConversion"/>
  </si>
  <si>
    <t>1년합계(간접비중 15%한도)</t>
    <phoneticPr fontId="1" type="noConversion"/>
  </si>
  <si>
    <t>1년합계(승인시 사용)</t>
    <phoneticPr fontId="1" type="noConversion"/>
  </si>
  <si>
    <t>산출내역(수입금액 5%이내)</t>
    <phoneticPr fontId="1" type="noConversion"/>
  </si>
  <si>
    <t>예산서 작성년도</t>
    <phoneticPr fontId="1" type="noConversion"/>
  </si>
  <si>
    <t>업체명</t>
    <phoneticPr fontId="1" type="noConversion"/>
  </si>
  <si>
    <t>대표자명</t>
    <phoneticPr fontId="1" type="noConversion"/>
  </si>
  <si>
    <t>예산서 작성일자</t>
    <phoneticPr fontId="1" type="noConversion"/>
  </si>
  <si>
    <t>업체유형</t>
    <phoneticPr fontId="1" type="noConversion"/>
  </si>
  <si>
    <t>추경여부</t>
    <phoneticPr fontId="1" type="noConversion"/>
  </si>
  <si>
    <t>세입예산증감율</t>
    <phoneticPr fontId="1" type="noConversion"/>
  </si>
  <si>
    <t>보수일람표 작성데이터</t>
    <phoneticPr fontId="10" type="noConversion"/>
  </si>
  <si>
    <t>세출예산증감율</t>
    <phoneticPr fontId="1" type="noConversion"/>
  </si>
  <si>
    <t>사업코드</t>
    <phoneticPr fontId="1" type="noConversion"/>
  </si>
  <si>
    <t>급여유형</t>
    <phoneticPr fontId="1" type="noConversion"/>
  </si>
  <si>
    <t>기준개월수</t>
    <phoneticPr fontId="1" type="noConversion"/>
  </si>
  <si>
    <t>사업명</t>
    <phoneticPr fontId="1" type="noConversion"/>
  </si>
  <si>
    <t>인건비비율</t>
    <phoneticPr fontId="1" type="noConversion"/>
  </si>
  <si>
    <t>국민연금</t>
    <phoneticPr fontId="1" type="noConversion"/>
  </si>
  <si>
    <t>장기요양급여</t>
    <phoneticPr fontId="1" type="noConversion"/>
  </si>
  <si>
    <t>건강보험</t>
    <phoneticPr fontId="1" type="noConversion"/>
  </si>
  <si>
    <t>인건비(직접)</t>
    <phoneticPr fontId="1" type="noConversion"/>
  </si>
  <si>
    <t>장기요양</t>
    <phoneticPr fontId="1" type="noConversion"/>
  </si>
  <si>
    <t>산재보험</t>
    <phoneticPr fontId="1" type="noConversion"/>
  </si>
  <si>
    <t>세입합계</t>
    <phoneticPr fontId="1" type="noConversion"/>
  </si>
  <si>
    <t>세출합계</t>
    <phoneticPr fontId="1" type="noConversion"/>
  </si>
  <si>
    <t>차액(세입-세출)</t>
    <phoneticPr fontId="1" type="noConversion"/>
  </si>
  <si>
    <t>↓</t>
    <phoneticPr fontId="1" type="noConversion"/>
  </si>
  <si>
    <t>기타전출금</t>
    <phoneticPr fontId="1" type="noConversion"/>
  </si>
  <si>
    <t>기타운영비</t>
    <phoneticPr fontId="1" type="noConversion"/>
  </si>
  <si>
    <t>잡지출</t>
    <phoneticPr fontId="1" type="noConversion"/>
  </si>
  <si>
    <t>생계비</t>
    <phoneticPr fontId="1" type="noConversion"/>
  </si>
  <si>
    <t>예비비</t>
    <phoneticPr fontId="1" type="noConversion"/>
  </si>
  <si>
    <t>인원관리</t>
    <phoneticPr fontId="1" type="noConversion"/>
  </si>
  <si>
    <t>수급자수(전체)</t>
    <phoneticPr fontId="1" type="noConversion"/>
  </si>
  <si>
    <t>수급자수(일반)</t>
    <phoneticPr fontId="1" type="noConversion"/>
  </si>
  <si>
    <t>공공요금</t>
    <phoneticPr fontId="1" type="noConversion"/>
  </si>
  <si>
    <t>수급자수(기초생계비)</t>
    <phoneticPr fontId="1" type="noConversion"/>
  </si>
  <si>
    <t>직원(직접)</t>
    <phoneticPr fontId="1" type="noConversion"/>
  </si>
  <si>
    <t>직원(간접)</t>
    <phoneticPr fontId="1" type="noConversion"/>
  </si>
  <si>
    <t>제세공과금</t>
    <phoneticPr fontId="1" type="noConversion"/>
  </si>
  <si>
    <t>차량비</t>
    <phoneticPr fontId="1" type="noConversion"/>
  </si>
  <si>
    <t>인원</t>
    <phoneticPr fontId="1" type="noConversion"/>
  </si>
  <si>
    <t>자산취득비</t>
    <phoneticPr fontId="1" type="noConversion"/>
  </si>
  <si>
    <t>비품구입비</t>
  </si>
  <si>
    <t>의료비</t>
    <phoneticPr fontId="1" type="noConversion"/>
  </si>
  <si>
    <t>인원/개월</t>
    <phoneticPr fontId="1" type="noConversion"/>
  </si>
  <si>
    <t>인건비</t>
    <phoneticPr fontId="1" type="noConversion"/>
  </si>
  <si>
    <t>결의서</t>
    <phoneticPr fontId="1" type="noConversion"/>
  </si>
  <si>
    <t>결의서-보수일람표</t>
    <phoneticPr fontId="1" type="noConversion"/>
  </si>
  <si>
    <t>보수일람표 가감액</t>
    <phoneticPr fontId="1" type="noConversion"/>
  </si>
  <si>
    <t>급여(직접비)</t>
    <phoneticPr fontId="1" type="noConversion"/>
  </si>
  <si>
    <t>급여(간접비)</t>
    <phoneticPr fontId="1" type="noConversion"/>
  </si>
  <si>
    <t>각종수당(직접비)</t>
    <phoneticPr fontId="1" type="noConversion"/>
  </si>
  <si>
    <t>각종수당(간접비)</t>
    <phoneticPr fontId="1" type="noConversion"/>
  </si>
  <si>
    <t>일용잡급(직접비)</t>
    <phoneticPr fontId="1" type="noConversion"/>
  </si>
  <si>
    <t>일용잡급(간접비)</t>
    <phoneticPr fontId="1" type="noConversion"/>
  </si>
  <si>
    <t>퇴직금 및 퇴직적립금(직접비)</t>
    <phoneticPr fontId="1" type="noConversion"/>
  </si>
  <si>
    <t>퇴직금 및 퇴직적립금(간접비)</t>
    <phoneticPr fontId="1" type="noConversion"/>
  </si>
  <si>
    <t>사회보험부담금(직접비)</t>
    <phoneticPr fontId="1" type="noConversion"/>
  </si>
  <si>
    <t>사회보험부담금(간접비)</t>
    <phoneticPr fontId="1" type="noConversion"/>
  </si>
  <si>
    <t>총괄표</t>
    <phoneticPr fontId="1" type="noConversion"/>
  </si>
  <si>
    <t>전년도예산서금액</t>
    <phoneticPr fontId="10" type="noConversion"/>
  </si>
  <si>
    <t>예산서 금액</t>
    <phoneticPr fontId="10" type="noConversion"/>
  </si>
  <si>
    <t>전년도예산액</t>
    <phoneticPr fontId="10" type="noConversion"/>
  </si>
  <si>
    <t>예산액</t>
    <phoneticPr fontId="10" type="noConversion"/>
  </si>
  <si>
    <t>총괄표차액(세입-세출)</t>
    <phoneticPr fontId="10" type="noConversion"/>
  </si>
  <si>
    <t>4대보험요율(합산)</t>
  </si>
  <si>
    <t>국고보조금</t>
    <phoneticPr fontId="1" type="noConversion"/>
  </si>
  <si>
    <t>시도보조금</t>
    <phoneticPr fontId="1" type="noConversion"/>
  </si>
  <si>
    <t>시군구보조금</t>
    <phoneticPr fontId="1" type="noConversion"/>
  </si>
  <si>
    <t>기타보조금</t>
    <phoneticPr fontId="1" type="noConversion"/>
  </si>
  <si>
    <t>개월</t>
    <phoneticPr fontId="1" type="noConversion"/>
  </si>
  <si>
    <t>공공요금 및 각종세금공과금</t>
    <phoneticPr fontId="1" type="noConversion"/>
  </si>
  <si>
    <t>수용비 및 수수료</t>
    <phoneticPr fontId="1" type="noConversion"/>
  </si>
  <si>
    <t>업체명+</t>
    <phoneticPr fontId="1" type="noConversion"/>
  </si>
  <si>
    <t>급여유형1</t>
    <phoneticPr fontId="1" type="noConversion"/>
  </si>
  <si>
    <t>노인요양시설(개정법)</t>
  </si>
  <si>
    <t>노인요양공동생활가정</t>
  </si>
  <si>
    <t>재가노인복지시설 주야간보호</t>
  </si>
  <si>
    <t>재가노인복지시설 단기보호</t>
    <phoneticPr fontId="1" type="noConversion"/>
  </si>
  <si>
    <t>방문요양</t>
  </si>
  <si>
    <t>재가노인복지시설 방문요양</t>
    <phoneticPr fontId="1" type="noConversion"/>
  </si>
  <si>
    <t>방문목욕</t>
  </si>
  <si>
    <t>재가노인복지시설 방문목욕</t>
    <phoneticPr fontId="1" type="noConversion"/>
  </si>
  <si>
    <t>방문간호</t>
  </si>
  <si>
    <t>재가노인복지시설 방문간호</t>
    <phoneticPr fontId="1" type="noConversion"/>
  </si>
  <si>
    <t>재가노인복지시설 복지용구</t>
    <phoneticPr fontId="1" type="noConversion"/>
  </si>
  <si>
    <t>업체유형별 인건비비율</t>
    <phoneticPr fontId="1" type="noConversion"/>
  </si>
  <si>
    <t>시설</t>
    <phoneticPr fontId="10" type="noConversion"/>
  </si>
  <si>
    <t>공생</t>
    <phoneticPr fontId="10" type="noConversion"/>
  </si>
  <si>
    <t>주야간</t>
    <phoneticPr fontId="10" type="noConversion"/>
  </si>
  <si>
    <t>단기</t>
    <phoneticPr fontId="10" type="noConversion"/>
  </si>
  <si>
    <t>급여유형2</t>
    <phoneticPr fontId="1" type="noConversion"/>
  </si>
  <si>
    <t>재가장기요양기관 주야간보호</t>
  </si>
  <si>
    <t>재가장기요양기관 단기보호</t>
    <phoneticPr fontId="1" type="noConversion"/>
  </si>
  <si>
    <t>재가장기요양기관 방문요양</t>
  </si>
  <si>
    <t>재가장기요양기관 방문목욕</t>
    <phoneticPr fontId="1" type="noConversion"/>
  </si>
  <si>
    <t>재가장기요양기관 방문간호</t>
    <phoneticPr fontId="1" type="noConversion"/>
  </si>
  <si>
    <t>재가장기요양기관 복지용구</t>
    <phoneticPr fontId="1" type="noConversion"/>
  </si>
  <si>
    <t>프로그램사업비</t>
    <phoneticPr fontId="1" type="noConversion"/>
  </si>
  <si>
    <t>반환금</t>
    <phoneticPr fontId="1" type="noConversion"/>
  </si>
  <si>
    <t>인건비비율</t>
    <phoneticPr fontId="1" type="noConversion"/>
  </si>
  <si>
    <t>필수인원</t>
    <phoneticPr fontId="1" type="noConversion"/>
  </si>
  <si>
    <t>요양보호사 1급</t>
    <phoneticPr fontId="1" type="noConversion"/>
  </si>
  <si>
    <t>급여유형</t>
  </si>
  <si>
    <t>HYO하모니데이케어센터</t>
  </si>
  <si>
    <t>직종</t>
  </si>
  <si>
    <t>급여</t>
  </si>
  <si>
    <t>현재결산액</t>
    <phoneticPr fontId="1" type="noConversion"/>
  </si>
  <si>
    <t>장기요양급여수입(인건비비율 반영)</t>
    <phoneticPr fontId="1" type="noConversion"/>
  </si>
  <si>
    <t>장기요양수입</t>
    <phoneticPr fontId="1" type="noConversion"/>
  </si>
  <si>
    <t>인건비 비율</t>
    <phoneticPr fontId="1" type="noConversion"/>
  </si>
  <si>
    <t>최소 인건비금액(업체유형별)</t>
    <phoneticPr fontId="1" type="noConversion"/>
  </si>
  <si>
    <t>부족금액(기준월-최소인건비)</t>
    <phoneticPr fontId="1" type="noConversion"/>
  </si>
  <si>
    <t>※ 통장거래내역의 실제 지출금액으로 인건비비율은 공단신고와 차이가 있을수 있음.</t>
    <phoneticPr fontId="1" type="noConversion"/>
  </si>
  <si>
    <t>- 시설, 공생, 주야간만 해당 -</t>
    <phoneticPr fontId="1" type="noConversion"/>
  </si>
  <si>
    <t>식재료비수입</t>
    <phoneticPr fontId="1" type="noConversion"/>
  </si>
  <si>
    <t>전년도이월금(식재료비)</t>
    <phoneticPr fontId="1" type="noConversion"/>
  </si>
  <si>
    <t>직원식재료수입</t>
    <phoneticPr fontId="1" type="noConversion"/>
  </si>
  <si>
    <t>*식재료비수입+전년도이월금(식재료비)+직원식재료비 = 생계비총액(어르신+직원)</t>
    <phoneticPr fontId="1" type="noConversion"/>
  </si>
  <si>
    <t>식재료비 수입</t>
    <phoneticPr fontId="1" type="noConversion"/>
  </si>
  <si>
    <t>생계비 지출</t>
    <phoneticPr fontId="1" type="noConversion"/>
  </si>
  <si>
    <t>남은식재료비(수입-지출)</t>
    <phoneticPr fontId="1" type="noConversion"/>
  </si>
  <si>
    <t>※ 전년도이월금(식재료비)는 1월1일 계좌잔액이 부족하여 실제금액보다 적게 입력되어 있을수 있음.</t>
    <phoneticPr fontId="1" type="noConversion"/>
  </si>
  <si>
    <t>1년합계(차입금사전신고서)</t>
    <phoneticPr fontId="1" type="noConversion"/>
  </si>
  <si>
    <t>수익사업 세입예산서 산출내역관리 (월별금액)</t>
    <phoneticPr fontId="1" type="noConversion"/>
  </si>
  <si>
    <t>수익사업 세출예산서 산출내역관리 (월별금액)</t>
    <phoneticPr fontId="1" type="noConversion"/>
  </si>
  <si>
    <t>O 제1조 :</t>
    <phoneticPr fontId="10" type="noConversion"/>
  </si>
  <si>
    <t>( 단위 : 천원 )</t>
    <phoneticPr fontId="10" type="noConversion"/>
  </si>
  <si>
    <t>구분</t>
    <phoneticPr fontId="10" type="noConversion"/>
  </si>
  <si>
    <t>세입, 세출예산총액</t>
    <phoneticPr fontId="10" type="noConversion"/>
  </si>
  <si>
    <t>세입예산액</t>
    <phoneticPr fontId="10" type="noConversion"/>
  </si>
  <si>
    <t>세출예산액</t>
    <phoneticPr fontId="10" type="noConversion"/>
  </si>
  <si>
    <t>시설회계</t>
    <phoneticPr fontId="10" type="noConversion"/>
  </si>
  <si>
    <t xml:space="preserve">O 제2조 : </t>
    <phoneticPr fontId="10" type="noConversion"/>
  </si>
  <si>
    <t>세입, 세출예산의 명세는 별첨 "세입-세출예산"과 같다.</t>
    <phoneticPr fontId="1" type="noConversion"/>
  </si>
  <si>
    <t xml:space="preserve">O 제3조 : </t>
    <phoneticPr fontId="10" type="noConversion"/>
  </si>
  <si>
    <t>O 제4조 :</t>
    <phoneticPr fontId="10" type="noConversion"/>
  </si>
  <si>
    <t xml:space="preserve">O 제5조 : </t>
    <phoneticPr fontId="10" type="noConversion"/>
  </si>
  <si>
    <t xml:space="preserve">국가 또는 지방자치단체로 부터 교부된 보조금 및 지정후원금, 장기요양수익금, 입소자부담경비 등은  </t>
    <phoneticPr fontId="10" type="noConversion"/>
  </si>
  <si>
    <t>추가경정 예산의 성립 이전이라도 보조 및 후원목적에 적절한 경우 먼저 사용할 수 있으며,</t>
    <phoneticPr fontId="10" type="noConversion"/>
  </si>
  <si>
    <t>이후 차기 추가경정 예산에 반영하여야 한다.</t>
    <phoneticPr fontId="10" type="noConversion"/>
  </si>
  <si>
    <t xml:space="preserve">O 제6조 : </t>
    <phoneticPr fontId="10" type="noConversion"/>
  </si>
  <si>
    <t xml:space="preserve">세출경비의 부족이 생겼을 때는 사회복지법인. 사회복지시설 재무회계규칙 제 16조에 의거하여 </t>
    <phoneticPr fontId="10" type="noConversion"/>
  </si>
  <si>
    <t>예산을 전용할 수 있다.</t>
    <phoneticPr fontId="10" type="noConversion"/>
  </si>
  <si>
    <t>단 동일 항목내의 목간전용이 불가피한 경우에는 시설장에게 그 권한을 위임한다.</t>
    <phoneticPr fontId="10" type="noConversion"/>
  </si>
  <si>
    <t>가. 총괄표</t>
    <phoneticPr fontId="10" type="noConversion"/>
  </si>
  <si>
    <t>(단위:천원)</t>
    <phoneticPr fontId="10" type="noConversion"/>
  </si>
  <si>
    <t>관</t>
    <phoneticPr fontId="10" type="noConversion"/>
  </si>
  <si>
    <t>항</t>
    <phoneticPr fontId="10" type="noConversion"/>
  </si>
  <si>
    <t>증감</t>
    <phoneticPr fontId="10" type="noConversion"/>
  </si>
  <si>
    <t>401</t>
  </si>
  <si>
    <t>입소자(이용자)부담금수입</t>
  </si>
  <si>
    <t>01</t>
  </si>
  <si>
    <t>501</t>
  </si>
  <si>
    <t>사무비</t>
  </si>
  <si>
    <t>402</t>
  </si>
  <si>
    <r>
      <t>0</t>
    </r>
    <r>
      <rPr>
        <sz val="11"/>
        <color theme="1"/>
        <rFont val="맑은 고딕"/>
        <family val="3"/>
        <charset val="129"/>
        <scheme val="major"/>
      </rPr>
      <t>2</t>
    </r>
    <phoneticPr fontId="10" type="noConversion"/>
  </si>
  <si>
    <t>업무추진비</t>
  </si>
  <si>
    <t>403</t>
  </si>
  <si>
    <r>
      <t>0</t>
    </r>
    <r>
      <rPr>
        <sz val="11"/>
        <color theme="1"/>
        <rFont val="맑은 고딕"/>
        <family val="3"/>
        <charset val="129"/>
        <scheme val="major"/>
      </rPr>
      <t>3</t>
    </r>
    <phoneticPr fontId="10" type="noConversion"/>
  </si>
  <si>
    <t>운영비</t>
  </si>
  <si>
    <t>404</t>
  </si>
  <si>
    <t>보조금수입</t>
  </si>
  <si>
    <t>502</t>
  </si>
  <si>
    <t>재산조성비</t>
  </si>
  <si>
    <t>405</t>
  </si>
  <si>
    <t>후원금수입</t>
  </si>
  <si>
    <t>503</t>
  </si>
  <si>
    <t>사업비</t>
  </si>
  <si>
    <t>406</t>
  </si>
  <si>
    <t>요양급여수입</t>
  </si>
  <si>
    <t>03</t>
    <phoneticPr fontId="10" type="noConversion"/>
  </si>
  <si>
    <t>407</t>
  </si>
  <si>
    <t>차입금</t>
  </si>
  <si>
    <t>504</t>
  </si>
  <si>
    <t>전출금</t>
  </si>
  <si>
    <t>408</t>
  </si>
  <si>
    <t>전입금</t>
  </si>
  <si>
    <t>505</t>
  </si>
  <si>
    <t>409</t>
  </si>
  <si>
    <t>이월금</t>
  </si>
  <si>
    <t>506</t>
  </si>
  <si>
    <t>상환금</t>
  </si>
  <si>
    <t>부채상환금</t>
  </si>
  <si>
    <t>410</t>
  </si>
  <si>
    <t>잡수입</t>
  </si>
  <si>
    <t>507</t>
  </si>
  <si>
    <t>508</t>
  </si>
  <si>
    <t>예비비 및 기타</t>
  </si>
  <si>
    <r>
      <t>0</t>
    </r>
    <r>
      <rPr>
        <sz val="11"/>
        <color theme="1"/>
        <rFont val="맑은 고딕"/>
        <family val="3"/>
        <charset val="129"/>
        <scheme val="major"/>
      </rPr>
      <t>1</t>
    </r>
    <phoneticPr fontId="10" type="noConversion"/>
  </si>
  <si>
    <t>509</t>
  </si>
  <si>
    <t>적립금 및 준비금</t>
  </si>
  <si>
    <t>운영충당적립금 및 
환경개선부담금</t>
    <phoneticPr fontId="10" type="noConversion"/>
  </si>
  <si>
    <t>세    입    총    괄</t>
    <phoneticPr fontId="10" type="noConversion"/>
  </si>
  <si>
    <t>세   출   총   괄</t>
    <phoneticPr fontId="10" type="noConversion"/>
  </si>
  <si>
    <t>장기요양기관 차입금 사전 신고서</t>
  </si>
  <si>
    <t>접수번호</t>
  </si>
  <si>
    <t>접수일</t>
  </si>
  <si>
    <t>`</t>
  </si>
  <si>
    <t>신고인</t>
  </si>
  <si>
    <t>기관명</t>
  </si>
  <si>
    <t>대표자 성명</t>
  </si>
  <si>
    <t>소재지</t>
  </si>
  <si>
    <t>전화번호</t>
  </si>
  <si>
    <t>차입금액</t>
  </si>
  <si>
    <t xml:space="preserve">차입사유 및 </t>
  </si>
  <si>
    <t>운영비(인건비, 비품구입비등) 차입금</t>
    <phoneticPr fontId="10" type="noConversion"/>
  </si>
  <si>
    <t>용도</t>
  </si>
  <si>
    <t>상환계획 또는 방법</t>
  </si>
  <si>
    <t>* 상환년도, 금액, 재원 등 구체적으로 작성</t>
  </si>
  <si>
    <r>
      <t>위와 같이 장기요양기관 운영</t>
    </r>
    <r>
      <rPr>
        <sz val="12"/>
        <color rgb="FF191919"/>
        <rFont val="돋움"/>
        <family val="3"/>
        <charset val="129"/>
      </rPr>
      <t>을 위해 차입한 사항에 대해 신고합니다.</t>
    </r>
  </si>
  <si>
    <t>(서명 또는 인)</t>
  </si>
  <si>
    <t>첨부서류</t>
  </si>
  <si>
    <t>1. 차입관련 증빙 서류(담보대출서 등) 사본 1부</t>
  </si>
  <si>
    <t>수수료</t>
  </si>
  <si>
    <t>없음</t>
  </si>
  <si>
    <t>시설환경개선준비금 적립 및 사용계획서</t>
    <phoneticPr fontId="1" type="noConversion"/>
  </si>
  <si>
    <t>운영충당적립금</t>
    <phoneticPr fontId="1" type="noConversion"/>
  </si>
  <si>
    <t>금융기관 적립</t>
    <phoneticPr fontId="1" type="noConversion"/>
  </si>
  <si>
    <t>- 적립금액 :</t>
    <phoneticPr fontId="1" type="noConversion"/>
  </si>
  <si>
    <t>- 적립기간 :</t>
    <phoneticPr fontId="1" type="noConversion"/>
  </si>
  <si>
    <t>- 사용용도 :</t>
    <phoneticPr fontId="1" type="noConversion"/>
  </si>
  <si>
    <t>- 적립방법 :</t>
    <phoneticPr fontId="1" type="noConversion"/>
  </si>
  <si>
    <t>- 관리방식 :</t>
    <phoneticPr fontId="1" type="noConversion"/>
  </si>
  <si>
    <r>
      <rPr>
        <b/>
        <sz val="18"/>
        <color rgb="FF000000"/>
        <rFont val="Arial Unicode MS"/>
        <family val="3"/>
        <charset val="129"/>
      </rPr>
      <t>운영충당적립</t>
    </r>
    <r>
      <rPr>
        <b/>
        <sz val="18"/>
        <color rgb="FF000000"/>
        <rFont val="한양견고딕"/>
        <family val="3"/>
        <charset val="129"/>
      </rPr>
      <t>금 적립 및 사용계획서</t>
    </r>
    <phoneticPr fontId="1" type="noConversion"/>
  </si>
  <si>
    <t>시설 개,보수 등 시설 환경개선</t>
    <phoneticPr fontId="1" type="noConversion"/>
  </si>
  <si>
    <t>보조금 세입예산서 산출내역관리 (월별금액)</t>
    <phoneticPr fontId="1" type="noConversion"/>
  </si>
  <si>
    <t>후원금 세입예산서 산출내역관리 (월별금액)</t>
    <phoneticPr fontId="1" type="noConversion"/>
  </si>
  <si>
    <t>지정후원금</t>
    <phoneticPr fontId="1" type="noConversion"/>
  </si>
  <si>
    <t>비지정후원금</t>
    <phoneticPr fontId="1" type="noConversion"/>
  </si>
  <si>
    <t>나. 세입 명세서</t>
    <phoneticPr fontId="10" type="noConversion"/>
  </si>
  <si>
    <t>(금액단위: 천원.산출기초단위 : 원)</t>
  </si>
  <si>
    <t>관</t>
  </si>
  <si>
    <t>항</t>
  </si>
  <si>
    <t>목</t>
  </si>
  <si>
    <t>산            출            내            역</t>
    <phoneticPr fontId="10" type="noConversion"/>
  </si>
  <si>
    <t>수익사업</t>
    <phoneticPr fontId="10" type="noConversion"/>
  </si>
  <si>
    <t>보조금</t>
    <phoneticPr fontId="10" type="noConversion"/>
  </si>
  <si>
    <t>후원금</t>
    <phoneticPr fontId="10" type="noConversion"/>
  </si>
  <si>
    <t xml:space="preserve">    - 시설(1등급)</t>
  </si>
  <si>
    <t xml:space="preserve"> x  </t>
  </si>
  <si>
    <t xml:space="preserve"> = </t>
  </si>
  <si>
    <t xml:space="preserve">    - 시설(2등급)</t>
  </si>
  <si>
    <t xml:space="preserve">    - 시설(3등급)</t>
  </si>
  <si>
    <t xml:space="preserve">    - 공생(1등급)</t>
  </si>
  <si>
    <t xml:space="preserve">    - 공생(2등급)</t>
  </si>
  <si>
    <t xml:space="preserve">    - 공생(3등급)</t>
  </si>
  <si>
    <t xml:space="preserve">    - 주야간보호(3등급, 8시간)</t>
    <phoneticPr fontId="10" type="noConversion"/>
  </si>
  <si>
    <t xml:space="preserve">    - 주야간보호(4등급, 8시간)</t>
    <phoneticPr fontId="10" type="noConversion"/>
  </si>
  <si>
    <t xml:space="preserve">    - 주야간보호(5등급, 8시간)</t>
    <phoneticPr fontId="10" type="noConversion"/>
  </si>
  <si>
    <t xml:space="preserve">    - 단기보호(1등급)</t>
  </si>
  <si>
    <t xml:space="preserve">    - 단기보호(2등급)</t>
  </si>
  <si>
    <t xml:space="preserve">    - 단기보호(3등급)</t>
  </si>
  <si>
    <t xml:space="preserve">    - 방문요양(180분)</t>
    <phoneticPr fontId="10" type="noConversion"/>
  </si>
  <si>
    <t xml:space="preserve">    - 가족요양(60분)</t>
    <phoneticPr fontId="10" type="noConversion"/>
  </si>
  <si>
    <t xml:space="preserve">    - 가족요양(90분)</t>
    <phoneticPr fontId="10" type="noConversion"/>
  </si>
  <si>
    <t xml:space="preserve">    - 방문목욕(차량이용,1시간)</t>
  </si>
  <si>
    <t xml:space="preserve">    - 방문목욕(차량미이용,1시간)</t>
  </si>
  <si>
    <t xml:space="preserve">    - 방문간호(1회, 1시간)</t>
  </si>
  <si>
    <t xml:space="preserve">    - 복지용구(평균, 15%)</t>
    <phoneticPr fontId="10" type="noConversion"/>
  </si>
  <si>
    <t xml:space="preserve">x </t>
    <phoneticPr fontId="10" type="noConversion"/>
  </si>
  <si>
    <t>=</t>
    <phoneticPr fontId="10" type="noConversion"/>
  </si>
  <si>
    <t xml:space="preserve">    - </t>
    <phoneticPr fontId="10" type="noConversion"/>
  </si>
  <si>
    <t>06</t>
    <phoneticPr fontId="10" type="noConversion"/>
  </si>
  <si>
    <t>수익사업</t>
    <phoneticPr fontId="10" type="noConversion"/>
  </si>
  <si>
    <t>장기요양급여수입</t>
  </si>
  <si>
    <t>장기요양급여수입(인건비비율 반영)</t>
    <phoneticPr fontId="10" type="noConversion"/>
  </si>
  <si>
    <t xml:space="preserve">    - 기초수급자</t>
    <phoneticPr fontId="10" type="noConversion"/>
  </si>
  <si>
    <t xml:space="preserve">    - 복지용구(평균, 85%)</t>
    <phoneticPr fontId="10" type="noConversion"/>
  </si>
  <si>
    <t>장기요양급여수입(인건비비율 미반영)</t>
    <phoneticPr fontId="10" type="noConversion"/>
  </si>
  <si>
    <t>가산금 수입</t>
  </si>
  <si>
    <t>가산금수입(인건비비율 반영)</t>
    <phoneticPr fontId="10" type="noConversion"/>
  </si>
  <si>
    <t>가산금수입(인건비비율 미반영)</t>
    <phoneticPr fontId="10" type="noConversion"/>
  </si>
  <si>
    <t>전년도이월금(보조금)</t>
    <phoneticPr fontId="10" type="noConversion"/>
  </si>
  <si>
    <t>07</t>
    <phoneticPr fontId="10" type="noConversion"/>
  </si>
  <si>
    <t xml:space="preserve">    - 기타예금이자수입</t>
    <phoneticPr fontId="10" type="noConversion"/>
  </si>
  <si>
    <t xml:space="preserve">    - 기타예금이자수입(보조금)</t>
    <phoneticPr fontId="10" type="noConversion"/>
  </si>
  <si>
    <t>05</t>
    <phoneticPr fontId="10" type="noConversion"/>
  </si>
  <si>
    <t xml:space="preserve">    - 기타예금이자수입(후원금)</t>
    <phoneticPr fontId="10" type="noConversion"/>
  </si>
  <si>
    <t xml:space="preserve"> </t>
    <phoneticPr fontId="10" type="noConversion"/>
  </si>
  <si>
    <t>수익사업 보조금반환</t>
    <phoneticPr fontId="1" type="noConversion"/>
  </si>
  <si>
    <t>다. 세출 명세서</t>
    <phoneticPr fontId="10" type="noConversion"/>
  </si>
  <si>
    <t>인 건 비 (전체)</t>
    <phoneticPr fontId="10" type="noConversion"/>
  </si>
  <si>
    <t xml:space="preserve">  - 인건비 (직접)</t>
  </si>
  <si>
    <t xml:space="preserve">  - 인건비 (간접)</t>
  </si>
  <si>
    <t>07</t>
    <phoneticPr fontId="10" type="noConversion"/>
  </si>
  <si>
    <t>보조금</t>
    <phoneticPr fontId="10" type="noConversion"/>
  </si>
  <si>
    <t>각종수당</t>
  </si>
  <si>
    <t>일용잡급</t>
  </si>
  <si>
    <t>퇴직금 및 퇴직적립금</t>
  </si>
  <si>
    <t>사회보험부담금</t>
  </si>
  <si>
    <t xml:space="preserve">  - 국민연금</t>
    <phoneticPr fontId="10" type="noConversion"/>
  </si>
  <si>
    <t xml:space="preserve">  - 건강보험</t>
    <phoneticPr fontId="10" type="noConversion"/>
  </si>
  <si>
    <t xml:space="preserve">  - 장기요양보험</t>
    <phoneticPr fontId="10" type="noConversion"/>
  </si>
  <si>
    <t xml:space="preserve">  - 고용보험</t>
    <phoneticPr fontId="10" type="noConversion"/>
  </si>
  <si>
    <t xml:space="preserve">  - 산재보험</t>
    <phoneticPr fontId="10" type="noConversion"/>
  </si>
  <si>
    <t xml:space="preserve">  - </t>
    <phoneticPr fontId="10" type="noConversion"/>
  </si>
  <si>
    <t xml:space="preserve">  - 시설장비유지 및 보수</t>
  </si>
  <si>
    <t xml:space="preserve">  - </t>
  </si>
  <si>
    <t>판매용구취득비</t>
  </si>
  <si>
    <t>대여용구취득비</t>
  </si>
  <si>
    <t>운영충당적립금 및 환경개선부담금</t>
  </si>
  <si>
    <t>세    출    총    괄</t>
    <phoneticPr fontId="10" type="noConversion"/>
  </si>
  <si>
    <t>급여인상</t>
    <phoneticPr fontId="1" type="noConversion"/>
  </si>
  <si>
    <t>4대보험요율(근로자)</t>
    <phoneticPr fontId="1" type="noConversion"/>
  </si>
  <si>
    <t>주야간보호</t>
  </si>
  <si>
    <t>고용보험</t>
    <phoneticPr fontId="1" type="noConversion"/>
  </si>
  <si>
    <t>단기보호</t>
  </si>
  <si>
    <t>사업코드</t>
  </si>
  <si>
    <t>사업명</t>
  </si>
  <si>
    <t>성명</t>
  </si>
  <si>
    <t>인건비구분</t>
  </si>
  <si>
    <t>주민등록번호</t>
  </si>
  <si>
    <t>퇴직금 및
퇴직적립금</t>
  </si>
  <si>
    <t>사회보험
부담금</t>
  </si>
  <si>
    <t>급여계</t>
    <phoneticPr fontId="1" type="noConversion"/>
  </si>
  <si>
    <t>총합계</t>
    <phoneticPr fontId="1" type="noConversion"/>
  </si>
  <si>
    <t>월별퇴직적립금</t>
    <phoneticPr fontId="1" type="noConversion"/>
  </si>
  <si>
    <t>적립식퇴직적립금</t>
    <phoneticPr fontId="1" type="noConversion"/>
  </si>
  <si>
    <t>퇴직금인원</t>
    <phoneticPr fontId="1" type="noConversion"/>
  </si>
  <si>
    <t>직원수</t>
    <phoneticPr fontId="1" type="noConversion"/>
  </si>
  <si>
    <t>월별 간접비 합계</t>
    <phoneticPr fontId="1" type="noConversion"/>
  </si>
  <si>
    <t>월별 직접비 합계</t>
    <phoneticPr fontId="1" type="noConversion"/>
  </si>
  <si>
    <t>월별 인건비 합계</t>
    <phoneticPr fontId="1" type="noConversion"/>
  </si>
  <si>
    <t>시설</t>
    <phoneticPr fontId="1" type="noConversion"/>
  </si>
  <si>
    <t>공생</t>
    <phoneticPr fontId="1" type="noConversion"/>
  </si>
  <si>
    <t>주야간</t>
    <phoneticPr fontId="1" type="noConversion"/>
  </si>
  <si>
    <t>방문요양</t>
    <phoneticPr fontId="1" type="noConversion"/>
  </si>
  <si>
    <t>방문목욕</t>
    <phoneticPr fontId="1" type="noConversion"/>
  </si>
  <si>
    <t>방문간호</t>
    <phoneticPr fontId="1" type="noConversion"/>
  </si>
  <si>
    <t>자금원천코드</t>
  </si>
  <si>
    <t>자금원천</t>
  </si>
  <si>
    <t>국비</t>
  </si>
  <si>
    <t>시도비</t>
  </si>
  <si>
    <t>시군구비</t>
  </si>
  <si>
    <t>계정과목</t>
  </si>
  <si>
    <t>금액</t>
  </si>
  <si>
    <t>예산</t>
  </si>
  <si>
    <t>실적</t>
  </si>
  <si>
    <t>잔액</t>
  </si>
  <si>
    <t xml:space="preserve">    - 주야간보호(1등급, 8시간)</t>
    <phoneticPr fontId="1" type="noConversion"/>
  </si>
  <si>
    <t xml:space="preserve">    - 주야간보호(2등급, 8시간)</t>
    <phoneticPr fontId="1" type="noConversion"/>
  </si>
  <si>
    <t xml:space="preserve">    - 주야간보호(인지지원등급, 8시간)</t>
    <phoneticPr fontId="10" type="noConversion"/>
  </si>
  <si>
    <t>기타예금이자수입</t>
    <phoneticPr fontId="10" type="noConversion"/>
  </si>
  <si>
    <t>기타예금이자수입</t>
    <phoneticPr fontId="1" type="noConversion"/>
  </si>
  <si>
    <t>식재료비수입</t>
    <phoneticPr fontId="1" type="noConversion"/>
  </si>
  <si>
    <t>세입결산서상 금액</t>
    <phoneticPr fontId="1" type="noConversion"/>
  </si>
  <si>
    <t>세출결산서상 금액</t>
    <phoneticPr fontId="1" type="noConversion"/>
  </si>
  <si>
    <t>후원금 세입결산서상 금액</t>
    <phoneticPr fontId="1" type="noConversion"/>
  </si>
  <si>
    <t>본인부담금수입(수익사업)</t>
  </si>
  <si>
    <t>식재료비수입(수익사업)</t>
  </si>
  <si>
    <t>상급침실이용료(수익사업)</t>
  </si>
  <si>
    <t>이미용비(수익사업)</t>
  </si>
  <si>
    <t>기타비급여수입(수익사업)</t>
  </si>
  <si>
    <t>사업수입(수익사업)</t>
  </si>
  <si>
    <t>과년도수입(수익사업)</t>
  </si>
  <si>
    <t>장기요양급여수입(인건비비율 반영)(수익사업)</t>
  </si>
  <si>
    <t>장기요양급여수입(인건비비율 미반영)(수익사업)</t>
  </si>
  <si>
    <t>가산금수입(인건비비율 반영)(수익사업)</t>
  </si>
  <si>
    <t>가산금수입(인건비비율 미반영)(수익사업)</t>
  </si>
  <si>
    <t>금융기관차입금(수익사업)</t>
  </si>
  <si>
    <t>기타차입금(수익사업)</t>
  </si>
  <si>
    <t>법인전입금(수익사업)</t>
  </si>
  <si>
    <t>기타전입금(수익사업)</t>
  </si>
  <si>
    <t>전년도이월금(수익사업)</t>
  </si>
  <si>
    <t>전년도이월금(식재료비)(수익사업)</t>
  </si>
  <si>
    <t>이월사업비(수익사업)</t>
  </si>
  <si>
    <t>불용품매각대(수익사업)</t>
  </si>
  <si>
    <t>기타예금이자수입(수익사업)</t>
  </si>
  <si>
    <t>직원식재료수입(수익사업)</t>
  </si>
  <si>
    <t>기타잡수입(수익사업)</t>
  </si>
  <si>
    <t>국고보조금(보조금)</t>
  </si>
  <si>
    <t>시도보조금(보조금)</t>
  </si>
  <si>
    <t>시군구보조금(보조금)</t>
  </si>
  <si>
    <t>기타보조금(보조금)</t>
  </si>
  <si>
    <t>전년도이월금(보조금)</t>
  </si>
  <si>
    <t>기타예금이자수입(보조금)</t>
  </si>
  <si>
    <t>지정후원금(후원금)</t>
  </si>
  <si>
    <t>비지정후원금(후원금)</t>
  </si>
  <si>
    <t>기타예금이자수입(후원금)</t>
  </si>
  <si>
    <t>국고보조금(수익사업)</t>
    <phoneticPr fontId="1" type="noConversion"/>
  </si>
  <si>
    <t>시도보조금(수익사업)</t>
    <phoneticPr fontId="1" type="noConversion"/>
  </si>
  <si>
    <t>시군구보조금(수익사업)</t>
    <phoneticPr fontId="1" type="noConversion"/>
  </si>
  <si>
    <t>기타보조금(수익사업)</t>
    <phoneticPr fontId="1" type="noConversion"/>
  </si>
  <si>
    <t>급여(직접비)(수익사업)</t>
  </si>
  <si>
    <t>급여(간접비)(수익사업)</t>
  </si>
  <si>
    <t>각종수당(직접비)(수익사업)</t>
  </si>
  <si>
    <t>각종수당(간접비)(수익사업)</t>
  </si>
  <si>
    <t>일용잡급(직접비)(수익사업)</t>
  </si>
  <si>
    <t>일용잡급(간접비)(수익사업)</t>
  </si>
  <si>
    <t>퇴직금 및 퇴직적립금(직접비)(수익사업)</t>
  </si>
  <si>
    <t>퇴직금 및 퇴직적립금(간접비)(수익사업)</t>
  </si>
  <si>
    <t>사회보험부담금(직접비)(수익사업)</t>
  </si>
  <si>
    <t>사회보험부담금(간접비)(수익사업)</t>
  </si>
  <si>
    <t>기관운영비(수익사업)</t>
  </si>
  <si>
    <t>직책보조비(수익사업)</t>
  </si>
  <si>
    <t>회의비(수익사업)</t>
  </si>
  <si>
    <t>여비(수익사업)</t>
  </si>
  <si>
    <t>수용비 및 수수료(수익사업)</t>
  </si>
  <si>
    <t>차량비(수익사업)</t>
  </si>
  <si>
    <t>임차료(수익사업)</t>
  </si>
  <si>
    <t>기타운영비(수익사업)</t>
  </si>
  <si>
    <t>시설비(수익사업)</t>
  </si>
  <si>
    <t>자산취득비(수익사업)</t>
  </si>
  <si>
    <t>시설장비유지비(수익사업)</t>
  </si>
  <si>
    <t>생계비(수익사업)</t>
  </si>
  <si>
    <t>수용기관경비(수익사업)</t>
  </si>
  <si>
    <t>의료비(수익사업)</t>
  </si>
  <si>
    <t>장의비(수익사업)</t>
  </si>
  <si>
    <t>프로그램 사업비(수익사업)</t>
  </si>
  <si>
    <t>대여용구취득비(수익사업)</t>
  </si>
  <si>
    <t>판매용구취득비(수익사업)</t>
  </si>
  <si>
    <t>법인회계전출금(수익사업)</t>
  </si>
  <si>
    <t>기타전출금(수익사업)</t>
  </si>
  <si>
    <t>과년도지출(수익사업)</t>
  </si>
  <si>
    <t>원금상환금(수익사업)</t>
  </si>
  <si>
    <t>이자지불금(수익사업)</t>
  </si>
  <si>
    <t>잡지출(수익사업)</t>
  </si>
  <si>
    <t>예비비(수익사업)</t>
  </si>
  <si>
    <t>반환금(수익사업)</t>
  </si>
  <si>
    <t>운영충당적립금(수익사업)</t>
  </si>
  <si>
    <t>시설환경 개선준비금(수익사업)</t>
  </si>
  <si>
    <t>급여(직접비)(보조금)</t>
  </si>
  <si>
    <t>급여(간접비)(보조금)</t>
  </si>
  <si>
    <t>각종수당(직접비)(보조금)</t>
  </si>
  <si>
    <t>각종수당(간접비)(보조금)</t>
  </si>
  <si>
    <t>일용잡급(직접비)(보조금)</t>
  </si>
  <si>
    <t>일용잡급(간접비)(보조금)</t>
  </si>
  <si>
    <t>퇴직금 및 퇴직적립금(직접비)(보조금)</t>
  </si>
  <si>
    <t>퇴직금 및 퇴직적립금(간접비)(보조금)</t>
  </si>
  <si>
    <t>사회보험부담금(직접비)(보조금)</t>
  </si>
  <si>
    <t>사회보험부담금(간접비)(보조금)</t>
  </si>
  <si>
    <t>기관운영비(보조금)</t>
  </si>
  <si>
    <t>직책보조비(보조금)</t>
  </si>
  <si>
    <t>회의비(보조금)</t>
  </si>
  <si>
    <t>여비(보조금)</t>
  </si>
  <si>
    <t>수용비 및 수수료(보조금)</t>
  </si>
  <si>
    <t>차량비(보조금)</t>
  </si>
  <si>
    <t>임차료(보조금)</t>
  </si>
  <si>
    <t>기타운영비(보조금)</t>
  </si>
  <si>
    <t>시설비(보조금)</t>
  </si>
  <si>
    <t>자산취득비(보조금)</t>
  </si>
  <si>
    <t>시설장비유지비(보조금)</t>
  </si>
  <si>
    <t>생계비(보조금)</t>
  </si>
  <si>
    <t>수용기관경비(보조금)</t>
  </si>
  <si>
    <t>의료비(보조금)</t>
  </si>
  <si>
    <t>장의비(보조금)</t>
  </si>
  <si>
    <t>프로그램 사업비(보조금)</t>
  </si>
  <si>
    <t>과년도지출(보조금)</t>
  </si>
  <si>
    <t>잡지출(보조금)</t>
  </si>
  <si>
    <t>반환금(보조금)</t>
  </si>
  <si>
    <t>급여(직접비)(후원금)</t>
  </si>
  <si>
    <t>급여(간접비)(후원금)</t>
  </si>
  <si>
    <t>각종수당(직접비)(후원금)</t>
  </si>
  <si>
    <t>각종수당(간접비)(후원금)</t>
  </si>
  <si>
    <t>일용잡급(직접비)(후원금)</t>
  </si>
  <si>
    <t>일용잡급(간접비)(후원금)</t>
  </si>
  <si>
    <t>퇴직금 및 퇴직적립금(직접비)(후원금)</t>
  </si>
  <si>
    <t>퇴직금 및 퇴직적립금(간접비)(후원금)</t>
  </si>
  <si>
    <t>사회보험부담금(직접비)(후원금)</t>
  </si>
  <si>
    <t>사회보험부담금(간접비)(후원금)</t>
  </si>
  <si>
    <t>기관운영비(후원금)</t>
  </si>
  <si>
    <t>회의비(후원금)</t>
  </si>
  <si>
    <t>여비(후원금)</t>
  </si>
  <si>
    <t>수용비 및 수수료(후원금)</t>
  </si>
  <si>
    <t>차량비(후원금)</t>
  </si>
  <si>
    <t>임차료(후원금)</t>
  </si>
  <si>
    <t>기타운영비(후원금)</t>
  </si>
  <si>
    <t>시설비(후원금)</t>
  </si>
  <si>
    <t>자산취득비(후원금)</t>
  </si>
  <si>
    <t>시설장비유지비(후원금)</t>
  </si>
  <si>
    <t>생계비(후원금)</t>
  </si>
  <si>
    <t>수용기관경비(후원금)</t>
  </si>
  <si>
    <t>의료비(후원금)</t>
  </si>
  <si>
    <t>장의비(후원금)</t>
  </si>
  <si>
    <t>프로그램 사업비(후원금)</t>
  </si>
  <si>
    <t>과년도지출(후원금)</t>
  </si>
  <si>
    <t>보조금</t>
    <phoneticPr fontId="1" type="noConversion"/>
  </si>
  <si>
    <t>07</t>
    <phoneticPr fontId="1" type="noConversion"/>
  </si>
  <si>
    <t>06</t>
    <phoneticPr fontId="1" type="noConversion"/>
  </si>
  <si>
    <t>차량목욕</t>
    <phoneticPr fontId="1" type="noConversion"/>
  </si>
  <si>
    <t>단기</t>
    <phoneticPr fontId="1" type="noConversion"/>
  </si>
  <si>
    <t>복지용구</t>
    <phoneticPr fontId="1" type="noConversion"/>
  </si>
  <si>
    <t>재가장기요양기관 방문요양</t>
    <phoneticPr fontId="1" type="noConversion"/>
  </si>
  <si>
    <t>유형별 템플릿</t>
    <phoneticPr fontId="1" type="noConversion"/>
  </si>
  <si>
    <t>합계</t>
    <phoneticPr fontId="10" type="noConversion"/>
  </si>
  <si>
    <t>생계비</t>
    <phoneticPr fontId="10" type="noConversion"/>
  </si>
  <si>
    <t>이자+전년도이월금+산출내역</t>
    <phoneticPr fontId="1" type="noConversion"/>
  </si>
  <si>
    <t>시군구보조금+산출내역</t>
    <phoneticPr fontId="1" type="noConversion"/>
  </si>
  <si>
    <t>생계비보조금+산출내역</t>
    <phoneticPr fontId="1" type="noConversion"/>
  </si>
  <si>
    <t>일반사업코드</t>
    <phoneticPr fontId="1" type="noConversion"/>
  </si>
  <si>
    <t>보조금사업코드</t>
    <phoneticPr fontId="1" type="noConversion"/>
  </si>
  <si>
    <t>후원금사업코드</t>
    <phoneticPr fontId="1" type="noConversion"/>
  </si>
  <si>
    <t>차량목욕</t>
  </si>
  <si>
    <t>최소금액</t>
    <phoneticPr fontId="1" type="noConversion"/>
  </si>
  <si>
    <t>부족금액</t>
    <phoneticPr fontId="1" type="noConversion"/>
  </si>
  <si>
    <t>계정항목</t>
    <phoneticPr fontId="1" type="noConversion"/>
  </si>
  <si>
    <t>추경(성립전예산)</t>
    <phoneticPr fontId="1" type="noConversion"/>
  </si>
  <si>
    <t>변경전</t>
    <phoneticPr fontId="1" type="noConversion"/>
  </si>
  <si>
    <t>변경후</t>
    <phoneticPr fontId="10" type="noConversion"/>
  </si>
  <si>
    <t>일반사업코드</t>
  </si>
  <si>
    <t>보조금사업코드</t>
  </si>
  <si>
    <t>후원금사업코드</t>
  </si>
  <si>
    <t>예산서 작성년도</t>
  </si>
  <si>
    <t>업체명</t>
  </si>
  <si>
    <t>대표자명</t>
  </si>
  <si>
    <t>예산서 작성일자</t>
  </si>
  <si>
    <t>업체유형</t>
  </si>
  <si>
    <t>추경여부</t>
  </si>
  <si>
    <t>업체명+</t>
  </si>
  <si>
    <t>업체유형별 인건비비율</t>
  </si>
  <si>
    <t>일반사업[일반]</t>
  </si>
  <si>
    <t>수익사업 세입예산서 산출내역관리 (월별금액)</t>
  </si>
  <si>
    <t>인원/개월</t>
  </si>
  <si>
    <t>수익사업 세출예산서 산출내역관리 (월별금액)</t>
  </si>
  <si>
    <t>공공요금 및 각종세금공과금</t>
  </si>
  <si>
    <t>개월</t>
  </si>
  <si>
    <t>각종수수료</t>
  </si>
  <si>
    <t>공공요금</t>
  </si>
  <si>
    <t>제세공과금</t>
  </si>
  <si>
    <t>주유비</t>
  </si>
  <si>
    <t>렌탈료</t>
  </si>
  <si>
    <t>각종세금 등</t>
  </si>
  <si>
    <t>수리비</t>
  </si>
  <si>
    <t>사무용품</t>
  </si>
  <si>
    <t>TV,통신요금 등</t>
  </si>
  <si>
    <t>각종공과금 등</t>
  </si>
  <si>
    <t>기타(소독,점검비 등)</t>
  </si>
  <si>
    <t>기타(관리비 등)</t>
  </si>
  <si>
    <t>기타(보험료 등)</t>
  </si>
  <si>
    <t>인원</t>
  </si>
  <si>
    <t>기저귀 등</t>
  </si>
  <si>
    <t>욕실용품 등</t>
  </si>
  <si>
    <t>기타(이불,피복비 등)</t>
  </si>
  <si>
    <t>프로그램사업비</t>
  </si>
  <si>
    <t>기타</t>
  </si>
  <si>
    <t>후원금 세입예산서 산출내역관리 (월별금액)</t>
  </si>
  <si>
    <t>보조금 세입예산서 산출내역관리 (월별금액)</t>
  </si>
  <si>
    <t>복지용구</t>
  </si>
  <si>
    <t>기준개월수</t>
  </si>
  <si>
    <t>추경(예산전용/변경)</t>
    <phoneticPr fontId="1" type="noConversion"/>
  </si>
  <si>
    <t>추경예산 보수일람표 업로드</t>
    <phoneticPr fontId="1" type="noConversion"/>
  </si>
  <si>
    <t>원</t>
    <phoneticPr fontId="1" type="noConversion"/>
  </si>
  <si>
    <t>식대</t>
    <phoneticPr fontId="10" type="noConversion"/>
  </si>
  <si>
    <t>고용(근로자)</t>
    <phoneticPr fontId="1" type="noConversion"/>
  </si>
  <si>
    <t>고용(기관)</t>
    <phoneticPr fontId="1" type="noConversion"/>
  </si>
  <si>
    <t>4대보험계산급여</t>
    <phoneticPr fontId="1" type="noConversion"/>
  </si>
  <si>
    <t>퇴직금계산급여</t>
    <phoneticPr fontId="1" type="noConversion"/>
  </si>
  <si>
    <t>추경차수+</t>
    <phoneticPr fontId="1" type="noConversion"/>
  </si>
  <si>
    <t>W4C마감월(보조금외)</t>
    <phoneticPr fontId="1" type="noConversion"/>
  </si>
  <si>
    <t>W4C마감월(보조금)</t>
    <phoneticPr fontId="1" type="noConversion"/>
  </si>
  <si>
    <t>W4C용</t>
    <phoneticPr fontId="1" type="noConversion"/>
  </si>
  <si>
    <t>희망이음용</t>
    <phoneticPr fontId="1" type="noConversion"/>
  </si>
  <si>
    <t>시설/공생</t>
    <phoneticPr fontId="1" type="noConversion"/>
  </si>
  <si>
    <t>주야간</t>
    <phoneticPr fontId="1" type="noConversion"/>
  </si>
  <si>
    <t>방문계열</t>
    <phoneticPr fontId="1" type="noConversion"/>
  </si>
  <si>
    <t>직원상여금</t>
  </si>
  <si>
    <t>명절상여금</t>
  </si>
  <si>
    <t>직원교육비</t>
  </si>
  <si>
    <t>경조사비</t>
  </si>
  <si>
    <t>직원식대</t>
    <phoneticPr fontId="1" type="noConversion"/>
  </si>
  <si>
    <t>차량렌트비</t>
    <phoneticPr fontId="1" type="noConversion"/>
  </si>
  <si>
    <t>90분</t>
    <phoneticPr fontId="1" type="noConversion"/>
  </si>
  <si>
    <t>60분</t>
    <phoneticPr fontId="1" type="noConversion"/>
  </si>
  <si>
    <t>X</t>
  </si>
  <si>
    <t>재료비 등</t>
  </si>
  <si>
    <t>웃음치료 등</t>
  </si>
  <si>
    <t>맞춤치료 등</t>
  </si>
  <si>
    <t>작성일자</t>
    <phoneticPr fontId="1" type="noConversion"/>
  </si>
  <si>
    <t>직원복지관련비용</t>
  </si>
  <si>
    <t>기관운영비</t>
    <phoneticPr fontId="1" type="noConversion"/>
  </si>
  <si>
    <t>직책보조비</t>
    <phoneticPr fontId="1" type="noConversion"/>
  </si>
  <si>
    <t>회의비</t>
    <phoneticPr fontId="1" type="noConversion"/>
  </si>
  <si>
    <t>여비</t>
    <phoneticPr fontId="1" type="noConversion"/>
  </si>
  <si>
    <t>상담,타시설 미팅등</t>
  </si>
  <si>
    <t>직종(간접인원)</t>
    <phoneticPr fontId="1" type="noConversion"/>
  </si>
  <si>
    <t>직종(직접인원)</t>
    <phoneticPr fontId="1" type="noConversion"/>
  </si>
  <si>
    <t>보수일람표</t>
    <phoneticPr fontId="1" type="noConversion"/>
  </si>
  <si>
    <t>00</t>
  </si>
  <si>
    <t>식대</t>
  </si>
  <si>
    <t>의료비대납외</t>
  </si>
  <si>
    <t>각종근로지원금</t>
  </si>
  <si>
    <t>진료비 등</t>
  </si>
  <si>
    <t>상비약구입 등</t>
  </si>
  <si>
    <t>경조사비(직원)</t>
  </si>
  <si>
    <t>구분</t>
  </si>
  <si>
    <t>장기요양요원</t>
  </si>
  <si>
    <t>요양보호사</t>
  </si>
  <si>
    <t>사회복지사</t>
  </si>
  <si>
    <t>치과위생사</t>
  </si>
  <si>
    <t>노인요양시설</t>
  </si>
  <si>
    <t>(요양원)</t>
  </si>
  <si>
    <t>간호(조무)사</t>
  </si>
  <si>
    <t>물리(작업)치료사</t>
  </si>
  <si>
    <t>요양보호사 1급</t>
  </si>
  <si>
    <t>요양보호사 1급</t>
    <phoneticPr fontId="1" type="noConversion"/>
  </si>
  <si>
    <t>시설장(관리책임자)</t>
    <phoneticPr fontId="1" type="noConversion"/>
  </si>
  <si>
    <t>사무국장</t>
    <phoneticPr fontId="1" type="noConversion"/>
  </si>
  <si>
    <t>사회복지사</t>
    <phoneticPr fontId="1" type="noConversion"/>
  </si>
  <si>
    <t>간호(조무)사</t>
    <phoneticPr fontId="1" type="noConversion"/>
  </si>
  <si>
    <t>사무원</t>
    <phoneticPr fontId="1" type="noConversion"/>
  </si>
  <si>
    <t>영양사</t>
    <phoneticPr fontId="1" type="noConversion"/>
  </si>
  <si>
    <t>조리원</t>
    <phoneticPr fontId="1" type="noConversion"/>
  </si>
  <si>
    <t>위생원</t>
    <phoneticPr fontId="1" type="noConversion"/>
  </si>
  <si>
    <t>관리원</t>
    <phoneticPr fontId="1" type="noConversion"/>
  </si>
  <si>
    <t>수급자수</t>
    <phoneticPr fontId="1" type="noConversion"/>
  </si>
  <si>
    <t>10~29명</t>
    <phoneticPr fontId="1" type="noConversion"/>
  </si>
  <si>
    <t>30명이상</t>
    <phoneticPr fontId="1" type="noConversion"/>
  </si>
  <si>
    <t>1명</t>
  </si>
  <si>
    <t>1명</t>
    <phoneticPr fontId="1" type="noConversion"/>
  </si>
  <si>
    <t>50명이상</t>
    <phoneticPr fontId="1" type="noConversion"/>
  </si>
  <si>
    <t>-</t>
  </si>
  <si>
    <t>-</t>
    <phoneticPr fontId="1" type="noConversion"/>
  </si>
  <si>
    <t>25명당 1명(반올림)</t>
    <phoneticPr fontId="1" type="noConversion"/>
  </si>
  <si>
    <t>100명이상</t>
    <phoneticPr fontId="1" type="noConversion"/>
  </si>
  <si>
    <t>2명</t>
    <phoneticPr fontId="1" type="noConversion"/>
  </si>
  <si>
    <t>2.3명당 1명</t>
    <phoneticPr fontId="1" type="noConversion"/>
  </si>
  <si>
    <t>1명
(선택)</t>
    <phoneticPr fontId="1" type="noConversion"/>
  </si>
  <si>
    <t>인력배치기준(2022년도, 시설기준)</t>
    <phoneticPr fontId="1" type="noConversion"/>
  </si>
  <si>
    <t>생계비(시군구보조금외)</t>
    <phoneticPr fontId="1" type="noConversion"/>
  </si>
  <si>
    <t>=</t>
  </si>
  <si>
    <t>월동대책비</t>
  </si>
  <si>
    <t>특별위로금</t>
  </si>
  <si>
    <t>보조금 세입결산서상 금액</t>
    <phoneticPr fontId="1" type="noConversion"/>
  </si>
  <si>
    <t>4대보험</t>
    <phoneticPr fontId="1" type="noConversion"/>
  </si>
  <si>
    <t>국민연금</t>
    <phoneticPr fontId="1" type="noConversion"/>
  </si>
  <si>
    <t>건강보험</t>
    <phoneticPr fontId="1" type="noConversion"/>
  </si>
  <si>
    <t>장기요양보험</t>
    <phoneticPr fontId="1" type="noConversion"/>
  </si>
  <si>
    <t>고용보험(근로자)</t>
    <phoneticPr fontId="1" type="noConversion"/>
  </si>
  <si>
    <t>고용보험(사업자)</t>
    <phoneticPr fontId="1" type="noConversion"/>
  </si>
  <si>
    <t>산재보험</t>
    <phoneticPr fontId="1" type="noConversion"/>
  </si>
  <si>
    <t>인건비비율</t>
    <phoneticPr fontId="1" type="noConversion"/>
  </si>
  <si>
    <t>인지지원등급</t>
  </si>
  <si>
    <t>가족요양</t>
  </si>
  <si>
    <t>90분</t>
  </si>
  <si>
    <t>60분</t>
  </si>
  <si>
    <t>장기요양수가(1일당)</t>
    <phoneticPr fontId="1" type="noConversion"/>
  </si>
  <si>
    <t>시설장</t>
  </si>
  <si>
    <t>간호조무사</t>
  </si>
  <si>
    <t>사무원</t>
  </si>
  <si>
    <t>조리원</t>
  </si>
  <si>
    <t>2명 이상</t>
  </si>
  <si>
    <t>1명 이상</t>
  </si>
  <si>
    <t xml:space="preserve">1명 </t>
  </si>
  <si>
    <t>재가노인지원</t>
  </si>
  <si>
    <t>1명이상</t>
  </si>
  <si>
    <t>주야간보호</t>
    <phoneticPr fontId="1" type="noConversion"/>
  </si>
  <si>
    <t>단기보호</t>
    <phoneticPr fontId="1" type="noConversion"/>
  </si>
  <si>
    <t>15명 이상</t>
    <phoneticPr fontId="1" type="noConversion"/>
  </si>
  <si>
    <t>25명 이상</t>
    <phoneticPr fontId="1" type="noConversion"/>
  </si>
  <si>
    <t>30명 이상</t>
    <phoneticPr fontId="1" type="noConversion"/>
  </si>
  <si>
    <t>이용자15명 이상</t>
    <phoneticPr fontId="1" type="noConversion"/>
  </si>
  <si>
    <t>30명당 1명</t>
    <phoneticPr fontId="1" type="noConversion"/>
  </si>
  <si>
    <t>4명당</t>
    <phoneticPr fontId="1" type="noConversion"/>
  </si>
  <si>
    <t>(치매전담4명당 1명)</t>
    <phoneticPr fontId="1" type="noConversion"/>
  </si>
  <si>
    <t>7명당 1명 이상</t>
    <phoneticPr fontId="1" type="noConversion"/>
  </si>
  <si>
    <t xml:space="preserve">(구강위생 제공시) </t>
    <phoneticPr fontId="1" type="noConversion"/>
  </si>
  <si>
    <t>10명 이상</t>
    <phoneticPr fontId="1" type="noConversion"/>
  </si>
  <si>
    <t>10명 미만</t>
    <phoneticPr fontId="1" type="noConversion"/>
  </si>
  <si>
    <t>사회복지사</t>
    <phoneticPr fontId="1" type="noConversion"/>
  </si>
  <si>
    <t>간호사</t>
    <phoneticPr fontId="1" type="noConversion"/>
  </si>
  <si>
    <t>물리치료사</t>
    <phoneticPr fontId="1" type="noConversion"/>
  </si>
  <si>
    <t>작업치료사</t>
    <phoneticPr fontId="1" type="noConversion"/>
  </si>
  <si>
    <t>치위생사</t>
    <phoneticPr fontId="1" type="noConversion"/>
  </si>
  <si>
    <t>요양보호사</t>
    <phoneticPr fontId="1" type="noConversion"/>
  </si>
  <si>
    <t>보조원
운전사</t>
    <phoneticPr fontId="1" type="noConversion"/>
  </si>
  <si>
    <t>15명당</t>
    <phoneticPr fontId="1" type="noConversion"/>
  </si>
  <si>
    <t>인력배치기준(2024년도, 재가시설기준)</t>
    <phoneticPr fontId="1" type="noConversion"/>
  </si>
  <si>
    <t>15명이상</t>
    <phoneticPr fontId="1" type="noConversion"/>
  </si>
  <si>
    <t>생계비(수익사업)</t>
    <phoneticPr fontId="1" type="noConversion"/>
  </si>
  <si>
    <t>생계비</t>
    <phoneticPr fontId="1" type="noConversion"/>
  </si>
  <si>
    <t>생계비(직원)</t>
    <phoneticPr fontId="1" type="noConversion"/>
  </si>
  <si>
    <t>생계비(어르신)</t>
    <phoneticPr fontId="1" type="noConversion"/>
  </si>
  <si>
    <t>2025(본)</t>
    <phoneticPr fontId="1" type="noConversion"/>
  </si>
  <si>
    <t>계정과목 검증</t>
  </si>
  <si>
    <t>*표준과 다른 경우 
노란색으로 표시됨</t>
  </si>
  <si>
    <t>2026(본)</t>
    <phoneticPr fontId="1" type="noConversion"/>
  </si>
  <si>
    <t>2025(추경)</t>
    <phoneticPr fontId="1" type="noConversion"/>
  </si>
  <si>
    <t>치매전담실</t>
    <phoneticPr fontId="1" type="noConversion"/>
  </si>
  <si>
    <t>치매전담</t>
    <phoneticPr fontId="1" type="noConversion"/>
  </si>
  <si>
    <t>치매전담실</t>
    <phoneticPr fontId="1" type="noConversion"/>
  </si>
  <si>
    <t>치매전담실</t>
    <phoneticPr fontId="1" type="noConversion"/>
  </si>
  <si>
    <t>장기근속장려금</t>
    <phoneticPr fontId="1" type="noConversion"/>
  </si>
  <si>
    <t>잡지출</t>
    <phoneticPr fontId="1" type="noConversion"/>
  </si>
  <si>
    <t>계획서보고안됨.</t>
    <phoneticPr fontId="1" type="noConversion"/>
  </si>
  <si>
    <t>* [식재료비수입]은 실제 식재료비 
용도에 맞게 전액 생계비로
사용되어야함.
(운영비로 사용불가)
* [직원식재료비수입]은
직원이 업체에 식대를 내는 경우
(급여공제)와 직원복지로 업체에서 
직원식재료비수입으로 금액을 편성하고 
식사를 하는경우 해당됨.</t>
    <phoneticPr fontId="1" type="noConversion"/>
  </si>
  <si>
    <t>2026년도</t>
    <phoneticPr fontId="1" type="noConversion"/>
  </si>
  <si>
    <t>간접퇴직금비율</t>
  </si>
  <si>
    <t>직접퇴직금비율</t>
  </si>
  <si>
    <t>간접4대비율</t>
  </si>
  <si>
    <t>직접4대비율</t>
  </si>
  <si>
    <t>장기근속수당(1-2년차)</t>
  </si>
  <si>
    <t>장기근속수당(3-4년차)</t>
  </si>
  <si>
    <t>장기근속수당(3-4년차)</t>
    <phoneticPr fontId="1" type="noConversion"/>
  </si>
  <si>
    <t>장기근속수당(5-6년차)</t>
  </si>
  <si>
    <t>장기근속수당(5-6년차)</t>
    <phoneticPr fontId="1" type="noConversion"/>
  </si>
  <si>
    <t>장기근속수당(7+년차)</t>
  </si>
  <si>
    <t>장기근속수당(7+년차)</t>
    <phoneticPr fontId="1" type="noConversion"/>
  </si>
  <si>
    <t xml:space="preserve">    - 장기근속수당(1-2년차)</t>
    <phoneticPr fontId="10" type="noConversion"/>
  </si>
  <si>
    <t xml:space="preserve">    - 장기근속수당(3-4년차)</t>
    <phoneticPr fontId="10" type="noConversion"/>
  </si>
  <si>
    <t xml:space="preserve">    - 장기근속수당(5-6년차)</t>
    <phoneticPr fontId="10" type="noConversion"/>
  </si>
  <si>
    <t xml:space="preserve">    - 장기근속수당(7년차이상)</t>
    <phoneticPr fontId="10" type="noConversion"/>
  </si>
  <si>
    <t>(주)실버랜드</t>
  </si>
  <si>
    <t>이민희</t>
  </si>
  <si>
    <t>W4C마감월(보조금외)</t>
  </si>
  <si>
    <t>2026년도 수급자수(전체)</t>
  </si>
  <si>
    <t>2026년도 수급자수(보조금)</t>
  </si>
  <si>
    <t>W4C마감월(보조금)</t>
  </si>
  <si>
    <t>보수일람표</t>
  </si>
  <si>
    <t>직종(간접인원)</t>
  </si>
  <si>
    <t>급여계</t>
  </si>
  <si>
    <t>총합계</t>
  </si>
  <si>
    <t>4대보험계산급여</t>
  </si>
  <si>
    <t>퇴직금계산급여</t>
  </si>
  <si>
    <t>월별퇴직적립금</t>
  </si>
  <si>
    <t>적립식퇴직적립금</t>
  </si>
  <si>
    <t>이영희</t>
  </si>
  <si>
    <t>시설장(관리책임자)</t>
  </si>
  <si>
    <t>김미경</t>
  </si>
  <si>
    <t>공공요금 및 각종 세금공과금</t>
  </si>
  <si>
    <t>직원식대</t>
  </si>
  <si>
    <t>각종근로지원금지급</t>
  </si>
  <si>
    <t>명절잔치(수급자)</t>
  </si>
  <si>
    <t>생일잔치(수급자)</t>
  </si>
  <si>
    <t>월별 간접비 합계</t>
  </si>
  <si>
    <t>직종(직접인원)</t>
  </si>
  <si>
    <t>전유나</t>
  </si>
  <si>
    <t>박윤정</t>
  </si>
  <si>
    <t>장정은</t>
  </si>
  <si>
    <t>윤선미</t>
  </si>
  <si>
    <t>작업치료사</t>
  </si>
  <si>
    <t>노정미</t>
  </si>
  <si>
    <t>이점순</t>
  </si>
  <si>
    <t>유봉희</t>
  </si>
  <si>
    <t>정영숙</t>
  </si>
  <si>
    <t>이희섭</t>
  </si>
  <si>
    <t>김종길</t>
  </si>
  <si>
    <t>생계비(직원)</t>
  </si>
  <si>
    <t>류종희</t>
  </si>
  <si>
    <t>채미경</t>
  </si>
  <si>
    <t>이춘희</t>
  </si>
  <si>
    <t>김안선</t>
  </si>
  <si>
    <t>박영희</t>
  </si>
  <si>
    <t>박인옥</t>
  </si>
  <si>
    <t>최지선</t>
  </si>
  <si>
    <t>강명희</t>
  </si>
  <si>
    <t>유종우</t>
  </si>
  <si>
    <t>최민숙</t>
  </si>
  <si>
    <t>이미화</t>
  </si>
  <si>
    <t>안혜용</t>
  </si>
  <si>
    <t>신규1</t>
  </si>
  <si>
    <t>신규2</t>
  </si>
  <si>
    <t>신규3</t>
  </si>
  <si>
    <t>신규4</t>
  </si>
  <si>
    <t>월별 직접비 합계</t>
  </si>
  <si>
    <t>월별 인건비 합계</t>
  </si>
  <si>
    <t>(주)실버랜드</t>
    <phoneticPr fontId="1" type="noConversion"/>
  </si>
  <si>
    <t>신규5</t>
  </si>
  <si>
    <t>가족내방행사</t>
    <phoneticPr fontId="1" type="noConversion"/>
  </si>
  <si>
    <t>지역사회참여</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</si>
</sst>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 #,##0_-;_-* &quot;-&quot;_-;_-@_-"/>
    <numFmt numFmtId="176" formatCode="0&quot;인&quot;"/>
    <numFmt numFmtId="177" formatCode="#,##0_ "/>
    <numFmt numFmtId="178" formatCode="0&quot;분&quot;&quot;기&quot;"/>
    <numFmt numFmtId="179" formatCode="0&quot;회&quot;"/>
    <numFmt numFmtId="180" formatCode="0&quot;식&quot;"/>
    <numFmt numFmtId="181" formatCode="0&quot;개&quot;&quot;월&quot;"/>
    <numFmt numFmtId="182" formatCode="0&quot;년&quot;&quot;도&quot;"/>
    <numFmt numFmtId="183" formatCode="0_);[Red]\(0\)"/>
    <numFmt numFmtId="184" formatCode="0.0%"/>
    <numFmt numFmtId="185" formatCode="0.000%"/>
    <numFmt numFmtId="186" formatCode="0.0&quot;인&quot;"/>
    <numFmt numFmtId="187" formatCode="#,##0_);[Red]\(#,##0\)"/>
    <numFmt numFmtId="188" formatCode="#,#00&quot;원&quot;"/>
    <numFmt numFmtId="189" formatCode="0&quot;월&quot;"/>
    <numFmt numFmtId="190" formatCode="#,##0,"/>
    <numFmt numFmtId="192" formatCode="0&quot;분기&quot;"/>
    <numFmt numFmtId="193" formatCode="0.0&quot;회&quot;"/>
    <numFmt numFmtId="194" formatCode="0.0&quot;건&quot;"/>
    <numFmt numFmtId="195" formatCode="0&quot;개월&quot;"/>
  </numFmts>
  <fonts count="100">
    <font>
      <sz val="11"/>
      <color theme="1"/>
      <name val="맑은 고딕"/>
      <family val="2"/>
      <charset val="129"/>
      <scheme val="minor"/>
    </font>
    <font>
      <sz val="8"/>
      <name val="맑은 고딕"/>
      <family val="2"/>
      <charset val="129"/>
      <scheme val="minor"/>
    </font>
    <font>
      <sz val="9"/>
      <color rgb="FF286892"/>
      <name val="굴림체"/>
      <family val="3"/>
      <charset val="129"/>
    </font>
    <font>
      <sz val="9"/>
      <color rgb="FF000000"/>
      <name val="굴림체"/>
      <family val="3"/>
      <charset val="129"/>
    </font>
    <font>
      <sz val="11"/>
      <color theme="1"/>
      <name val="맑은 고딕"/>
      <family val="2"/>
      <charset val="129"/>
      <scheme val="minor"/>
    </font>
    <font>
      <sz val="9"/>
      <color rgb="FF286892"/>
      <name val="맑은 고딕"/>
      <family val="3"/>
      <charset val="129"/>
      <scheme val="major"/>
    </font>
    <font>
      <b/>
      <sz val="11"/>
      <color rgb="FF000000"/>
      <name val="맑은 고딕"/>
      <family val="3"/>
      <charset val="129"/>
      <scheme val="major"/>
    </font>
    <font>
      <b/>
      <sz val="9"/>
      <color rgb="FF000000"/>
      <name val="맑은 고딕"/>
      <family val="3"/>
      <charset val="129"/>
      <scheme val="major"/>
    </font>
    <font>
      <sz val="10"/>
      <name val="맑은 고딕"/>
      <family val="3"/>
      <charset val="129"/>
      <scheme val="major"/>
    </font>
    <font>
      <b/>
      <sz val="11"/>
      <color rgb="FFFF0000"/>
      <name val="맑은 고딕"/>
      <family val="3"/>
      <charset val="129"/>
      <scheme val="major"/>
    </font>
    <font>
      <sz val="8"/>
      <name val="돋움"/>
      <family val="3"/>
      <charset val="129"/>
    </font>
    <font>
      <sz val="11"/>
      <color theme="1"/>
      <name val="맑은 고딕"/>
      <family val="3"/>
      <charset val="129"/>
      <scheme val="major"/>
    </font>
    <font>
      <b/>
      <sz val="11"/>
      <color theme="1"/>
      <name val="맑은 고딕"/>
      <family val="3"/>
      <charset val="129"/>
      <scheme val="major"/>
    </font>
    <font>
      <sz val="10"/>
      <color theme="1"/>
      <name val="맑은 고딕"/>
      <family val="3"/>
      <charset val="129"/>
      <scheme val="major"/>
    </font>
    <font>
      <b/>
      <sz val="10"/>
      <name val="맑은 고딕"/>
      <family val="3"/>
      <charset val="129"/>
      <scheme val="major"/>
    </font>
    <font>
      <sz val="9"/>
      <name val="맑은 고딕"/>
      <family val="3"/>
      <charset val="129"/>
      <scheme val="major"/>
    </font>
    <font>
      <sz val="9"/>
      <color theme="1"/>
      <name val="맑은 고딕"/>
      <family val="3"/>
      <charset val="129"/>
      <scheme val="major"/>
    </font>
    <font>
      <b/>
      <sz val="9"/>
      <color indexed="81"/>
      <name val="돋움"/>
      <family val="3"/>
      <charset val="129"/>
    </font>
    <font>
      <b/>
      <sz val="9"/>
      <color indexed="81"/>
      <name val="Tahoma"/>
      <family val="2"/>
    </font>
    <font>
      <sz val="9"/>
      <color indexed="81"/>
      <name val="Tahoma"/>
      <family val="2"/>
    </font>
    <font>
      <b/>
      <sz val="10"/>
      <color indexed="81"/>
      <name val="맑은 고딕"/>
      <family val="3"/>
      <charset val="129"/>
      <scheme val="major"/>
    </font>
    <font>
      <sz val="9"/>
      <color indexed="81"/>
      <name val="돋움"/>
      <family val="3"/>
      <charset val="129"/>
    </font>
    <font>
      <b/>
      <sz val="9"/>
      <color indexed="81"/>
      <name val="맑은 고딕"/>
      <family val="3"/>
      <charset val="129"/>
      <scheme val="major"/>
    </font>
    <font>
      <sz val="8"/>
      <name val="맑은 고딕"/>
      <family val="3"/>
      <charset val="129"/>
      <scheme val="major"/>
    </font>
    <font>
      <sz val="10"/>
      <color theme="1"/>
      <name val="맑은 고딕"/>
      <family val="3"/>
      <charset val="129"/>
      <scheme val="minor"/>
    </font>
    <font>
      <b/>
      <sz val="10"/>
      <color theme="1"/>
      <name val="맑은 고딕"/>
      <family val="3"/>
      <charset val="129"/>
      <scheme val="minor"/>
    </font>
    <font>
      <b/>
      <sz val="11"/>
      <color theme="1"/>
      <name val="맑은 고딕"/>
      <family val="3"/>
      <charset val="129"/>
      <scheme val="minor"/>
    </font>
    <font>
      <b/>
      <sz val="10"/>
      <name val="굴림"/>
      <family val="3"/>
      <charset val="129"/>
    </font>
    <font>
      <b/>
      <sz val="11"/>
      <name val="맑은 고딕"/>
      <family val="3"/>
      <charset val="129"/>
      <scheme val="minor"/>
    </font>
    <font>
      <b/>
      <sz val="14"/>
      <color theme="1"/>
      <name val="맑은 고딕"/>
      <family val="3"/>
      <charset val="129"/>
      <scheme val="minor"/>
    </font>
    <font>
      <b/>
      <sz val="10"/>
      <color theme="1"/>
      <name val="맑은 고딕"/>
      <family val="3"/>
      <charset val="129"/>
      <scheme val="major"/>
    </font>
    <font>
      <sz val="10"/>
      <color theme="1"/>
      <name val="맑은 고딕"/>
      <family val="2"/>
      <charset val="129"/>
      <scheme val="minor"/>
    </font>
    <font>
      <sz val="11"/>
      <name val="돋움"/>
      <family val="3"/>
      <charset val="129"/>
    </font>
    <font>
      <sz val="10"/>
      <color theme="1"/>
      <name val="맑은 고딕"/>
      <family val="2"/>
      <charset val="129"/>
      <scheme val="major"/>
    </font>
    <font>
      <b/>
      <sz val="9"/>
      <color theme="1"/>
      <name val="맑은 고딕"/>
      <family val="3"/>
      <charset val="129"/>
      <scheme val="major"/>
    </font>
    <font>
      <b/>
      <sz val="9"/>
      <color theme="1"/>
      <name val="맑은 고딕"/>
      <family val="3"/>
      <charset val="129"/>
      <scheme val="minor"/>
    </font>
    <font>
      <b/>
      <sz val="9"/>
      <name val="맑은 고딕"/>
      <family val="3"/>
      <charset val="129"/>
      <scheme val="major"/>
    </font>
    <font>
      <sz val="9"/>
      <color theme="1"/>
      <name val="맑은 고딕"/>
      <family val="3"/>
      <charset val="129"/>
      <scheme val="minor"/>
    </font>
    <font>
      <b/>
      <sz val="12"/>
      <color theme="1"/>
      <name val="맑은 고딕"/>
      <family val="3"/>
      <charset val="129"/>
      <scheme val="minor"/>
    </font>
    <font>
      <b/>
      <sz val="9"/>
      <name val="굴림체"/>
      <family val="3"/>
      <charset val="129"/>
    </font>
    <font>
      <sz val="9"/>
      <color rgb="FF000000"/>
      <name val="굴림"/>
      <family val="3"/>
      <charset val="129"/>
    </font>
    <font>
      <b/>
      <sz val="10"/>
      <name val="맑은 고딕"/>
      <family val="3"/>
      <charset val="129"/>
      <scheme val="minor"/>
    </font>
    <font>
      <b/>
      <sz val="10"/>
      <color rgb="FF286892"/>
      <name val="맑은 고딕"/>
      <family val="3"/>
      <charset val="129"/>
      <scheme val="minor"/>
    </font>
    <font>
      <sz val="10"/>
      <color rgb="FF000000"/>
      <name val="맑은 고딕"/>
      <family val="3"/>
      <charset val="129"/>
      <scheme val="minor"/>
    </font>
    <font>
      <sz val="10"/>
      <name val="맑은 고딕"/>
      <family val="3"/>
      <charset val="129"/>
      <scheme val="minor"/>
    </font>
    <font>
      <b/>
      <sz val="9"/>
      <color rgb="FF000000"/>
      <name val="굴림"/>
      <family val="3"/>
      <charset val="129"/>
    </font>
    <font>
      <sz val="11"/>
      <name val="맑은 고딕"/>
      <family val="3"/>
      <charset val="129"/>
      <scheme val="major"/>
    </font>
    <font>
      <b/>
      <sz val="11"/>
      <name val="맑은 고딕"/>
      <family val="3"/>
      <charset val="129"/>
      <scheme val="major"/>
    </font>
    <font>
      <sz val="28"/>
      <name val="맑은 고딕"/>
      <family val="3"/>
      <charset val="129"/>
      <scheme val="major"/>
    </font>
    <font>
      <b/>
      <sz val="28"/>
      <name val="맑은 고딕"/>
      <family val="3"/>
      <charset val="129"/>
      <scheme val="major"/>
    </font>
    <font>
      <b/>
      <sz val="12"/>
      <name val="맑은 고딕"/>
      <family val="3"/>
      <charset val="129"/>
      <scheme val="major"/>
    </font>
    <font>
      <b/>
      <sz val="18"/>
      <name val="맑은 고딕"/>
      <family val="3"/>
      <charset val="129"/>
      <scheme val="major"/>
    </font>
    <font>
      <b/>
      <sz val="24"/>
      <name val="맑은 고딕"/>
      <family val="3"/>
      <charset val="129"/>
      <scheme val="major"/>
    </font>
    <font>
      <b/>
      <sz val="26"/>
      <color theme="1"/>
      <name val="맑은 고딕"/>
      <family val="3"/>
      <charset val="129"/>
      <scheme val="major"/>
    </font>
    <font>
      <sz val="11"/>
      <name val="굴림"/>
      <family val="3"/>
      <charset val="129"/>
    </font>
    <font>
      <b/>
      <sz val="26"/>
      <color theme="1"/>
      <name val="맑은 고딕"/>
      <family val="3"/>
      <charset val="129"/>
      <scheme val="minor"/>
    </font>
    <font>
      <sz val="12"/>
      <color rgb="FF000000"/>
      <name val="돋움"/>
      <family val="3"/>
      <charset val="129"/>
    </font>
    <font>
      <sz val="9"/>
      <color rgb="FF000000"/>
      <name val="돋움"/>
      <family val="3"/>
      <charset val="129"/>
    </font>
    <font>
      <sz val="11"/>
      <color rgb="FF000000"/>
      <name val="돋움"/>
      <family val="3"/>
      <charset val="129"/>
    </font>
    <font>
      <sz val="2"/>
      <color rgb="FF000000"/>
      <name val="돋움"/>
      <family val="3"/>
      <charset val="129"/>
    </font>
    <font>
      <b/>
      <sz val="14"/>
      <color rgb="FF000000"/>
      <name val="돋움"/>
      <family val="3"/>
      <charset val="129"/>
    </font>
    <font>
      <sz val="10"/>
      <color rgb="FF000000"/>
      <name val="돋움"/>
      <family val="3"/>
      <charset val="129"/>
    </font>
    <font>
      <sz val="12"/>
      <color rgb="FF191919"/>
      <name val="돋움"/>
      <family val="3"/>
      <charset val="129"/>
    </font>
    <font>
      <b/>
      <sz val="13"/>
      <color rgb="FF000000"/>
      <name val="돋움"/>
      <family val="3"/>
      <charset val="129"/>
    </font>
    <font>
      <sz val="14"/>
      <color rgb="FF000000"/>
      <name val="돋움"/>
      <family val="3"/>
      <charset val="129"/>
    </font>
    <font>
      <b/>
      <sz val="16"/>
      <color rgb="FF000000"/>
      <name val="돋움"/>
      <family val="3"/>
      <charset val="129"/>
    </font>
    <font>
      <b/>
      <sz val="18"/>
      <color rgb="FF000000"/>
      <name val="한양견고딕"/>
      <family val="3"/>
      <charset val="129"/>
    </font>
    <font>
      <b/>
      <sz val="18"/>
      <color rgb="FF000000"/>
      <name val="Arial Unicode MS"/>
      <family val="3"/>
      <charset val="129"/>
    </font>
    <font>
      <b/>
      <sz val="11"/>
      <name val="굴림"/>
      <family val="3"/>
      <charset val="129"/>
    </font>
    <font>
      <sz val="9"/>
      <color rgb="FF000000"/>
      <name val="맑은 고딕"/>
      <family val="3"/>
      <charset val="129"/>
      <scheme val="major"/>
    </font>
    <font>
      <sz val="10"/>
      <color rgb="FF000000"/>
      <name val="맑은 고딕"/>
      <family val="3"/>
      <charset val="129"/>
      <scheme val="major"/>
    </font>
    <font>
      <sz val="10"/>
      <name val="굴림"/>
      <family val="3"/>
      <charset val="129"/>
    </font>
    <font>
      <sz val="9"/>
      <name val="굴림"/>
      <family val="3"/>
      <charset val="129"/>
    </font>
    <font>
      <b/>
      <sz val="11"/>
      <name val="돋움"/>
      <family val="3"/>
      <charset val="129"/>
    </font>
    <font>
      <sz val="9"/>
      <name val="굴림체"/>
      <family val="3"/>
      <charset val="129"/>
    </font>
    <font>
      <b/>
      <sz val="9"/>
      <color rgb="FFC00000"/>
      <name val="맑은 고딕"/>
      <family val="3"/>
      <charset val="129"/>
      <scheme val="major"/>
    </font>
    <font>
      <b/>
      <sz val="11"/>
      <color rgb="FFC00000"/>
      <name val="맑은 고딕"/>
      <family val="3"/>
      <charset val="129"/>
      <scheme val="minor"/>
    </font>
    <font>
      <b/>
      <sz val="9"/>
      <color rgb="FF000000"/>
      <name val="굴림체"/>
      <family val="3"/>
      <charset val="129"/>
    </font>
    <font>
      <b/>
      <sz val="26"/>
      <name val="굴림체"/>
      <family val="3"/>
      <charset val="129"/>
    </font>
    <font>
      <b/>
      <sz val="14"/>
      <color theme="1"/>
      <name val="맑은 고딕"/>
      <family val="3"/>
      <charset val="129"/>
      <scheme val="major"/>
    </font>
    <font>
      <sz val="9"/>
      <color rgb="FF286892"/>
      <name val="맑은 고딕"/>
      <family val="3"/>
      <charset val="129"/>
      <scheme val="minor"/>
    </font>
    <font>
      <sz val="9"/>
      <color theme="1"/>
      <name val="굴림체"/>
      <family val="3"/>
      <charset val="129"/>
    </font>
    <font>
      <sz val="11"/>
      <color rgb="FF286892"/>
      <name val="맑은 고딕"/>
      <family val="3"/>
      <charset val="129"/>
      <scheme val="major"/>
    </font>
    <font>
      <sz val="11"/>
      <color theme="1"/>
      <name val="맑은 고딕"/>
      <family val="3"/>
      <charset val="129"/>
      <scheme val="minor"/>
    </font>
    <font>
      <b/>
      <sz val="11"/>
      <color rgb="FF286892"/>
      <name val="맑은 고딕"/>
      <family val="3"/>
      <charset val="129"/>
      <scheme val="major"/>
    </font>
    <font>
      <b/>
      <sz val="10"/>
      <color rgb="FF000000"/>
      <name val="맑은 고딕"/>
      <family val="3"/>
      <charset val="129"/>
      <scheme val="major"/>
    </font>
    <font>
      <sz val="11"/>
      <color theme="5" tint="0.79998168889431442"/>
      <name val="맑은 고딕"/>
      <family val="2"/>
      <charset val="129"/>
      <scheme val="minor"/>
    </font>
    <font>
      <b/>
      <sz val="6"/>
      <color theme="1"/>
      <name val="맑은 고딕"/>
      <family val="3"/>
      <charset val="129"/>
      <scheme val="minor"/>
    </font>
    <font>
      <sz val="8"/>
      <color theme="1"/>
      <name val="맑은 고딕"/>
      <family val="2"/>
      <charset val="129"/>
      <scheme val="minor"/>
    </font>
    <font>
      <b/>
      <sz val="10"/>
      <color theme="5" tint="0.79998168889431442"/>
      <name val="맑은 고딕"/>
      <family val="3"/>
      <charset val="129"/>
      <scheme val="minor"/>
    </font>
    <font>
      <b/>
      <sz val="10"/>
      <color indexed="81"/>
      <name val="돋움"/>
      <family val="3"/>
      <charset val="129"/>
    </font>
    <font>
      <b/>
      <sz val="16"/>
      <name val="굴림체"/>
      <family val="3"/>
      <charset val="129"/>
    </font>
    <font>
      <b/>
      <sz val="10"/>
      <color indexed="81"/>
      <name val="맑은 고딕"/>
      <family val="2"/>
      <scheme val="major"/>
    </font>
    <font>
      <b/>
      <sz val="34"/>
      <name val="맑은 고딕"/>
      <family val="3"/>
      <charset val="129"/>
      <scheme val="major"/>
    </font>
    <font>
      <sz val="8"/>
      <color theme="1"/>
      <name val="맑은 고딕"/>
      <family val="3"/>
      <charset val="129"/>
      <scheme val="minor"/>
    </font>
    <font>
      <sz val="10"/>
      <color rgb="FF333333"/>
      <name val="맑은 고딕"/>
      <family val="3"/>
      <charset val="129"/>
      <scheme val="minor"/>
    </font>
    <font>
      <sz val="11"/>
      <color theme="6"/>
      <name val="맑은 고딕"/>
      <family val="2"/>
      <charset val="129"/>
      <scheme val="minor"/>
    </font>
    <font>
      <b/>
      <sz val="12"/>
      <name val="굴림"/>
      <family val="3"/>
      <charset val="129"/>
    </font>
    <font>
      <b/>
      <sz val="8"/>
      <name val="굴림"/>
      <family val="3"/>
      <charset val="129"/>
    </font>
    <font>
      <b/>
      <sz val="11"/>
      <color rgb="FFFF0000"/>
      <name val="맑은 고딕"/>
      <family val="3"/>
      <charset val="129"/>
      <scheme val="minor"/>
    </font>
  </fonts>
  <fills count="2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4F4F4"/>
        <bgColor indexed="64"/>
      </patternFill>
    </fill>
    <fill>
      <patternFill patternType="solid">
        <fgColor theme="9" tint="0.59999389629810485"/>
        <bgColor indexed="64"/>
      </patternFill>
    </fill>
    <fill>
      <patternFill patternType="solid">
        <fgColor rgb="FFBBBBBB"/>
        <bgColor indexed="64"/>
      </patternFill>
    </fill>
    <fill>
      <patternFill patternType="solid">
        <fgColor theme="2" tint="-0.24994659260841701"/>
        <bgColor indexed="64"/>
      </patternFill>
    </fill>
    <fill>
      <patternFill patternType="solid">
        <fgColor theme="9"/>
        <bgColor indexed="64"/>
      </patternFill>
    </fill>
    <fill>
      <patternFill patternType="solid">
        <fgColor theme="7"/>
        <bgColor indexed="64"/>
      </patternFill>
    </fill>
    <fill>
      <patternFill patternType="solid">
        <fgColor theme="8"/>
        <bgColor indexed="64"/>
      </patternFill>
    </fill>
    <fill>
      <patternFill patternType="solid">
        <fgColor rgb="FFFFC000"/>
        <bgColor indexed="64"/>
      </patternFill>
    </fill>
    <fill>
      <patternFill patternType="solid">
        <fgColor theme="2"/>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7" tint="0.39997558519241921"/>
        <bgColor indexed="64"/>
      </patternFill>
    </fill>
  </fills>
  <borders count="26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auto="1"/>
      </left>
      <right style="thin">
        <color auto="1"/>
      </right>
      <top style="medium">
        <color auto="1"/>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indexed="64"/>
      </left>
      <right style="medium">
        <color indexed="64"/>
      </right>
      <top/>
      <bottom style="medium">
        <color indexed="64"/>
      </bottom>
      <diagonal/>
    </border>
    <border>
      <left style="medium">
        <color auto="1"/>
      </left>
      <right style="medium">
        <color auto="1"/>
      </right>
      <top/>
      <bottom style="medium">
        <color auto="1"/>
      </bottom>
      <diagonal/>
    </border>
    <border>
      <left/>
      <right style="thin">
        <color indexed="64"/>
      </right>
      <top/>
      <bottom style="medium">
        <color indexed="64"/>
      </bottom>
      <diagonal/>
    </border>
    <border>
      <left style="thin">
        <color auto="1"/>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Down="1">
      <left style="medium">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medium">
        <color indexed="64"/>
      </right>
      <top style="thin">
        <color indexed="64"/>
      </top>
      <bottom/>
      <diagonal style="thin">
        <color indexed="64"/>
      </diagonal>
    </border>
    <border diagonalDown="1">
      <left style="thin">
        <color indexed="64"/>
      </left>
      <right style="thin">
        <color indexed="64"/>
      </right>
      <top style="thin">
        <color indexed="64"/>
      </top>
      <bottom/>
      <diagonal style="thin">
        <color indexed="64"/>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style="medium">
        <color indexed="64"/>
      </top>
      <bottom style="thin">
        <color rgb="FF000000"/>
      </bottom>
      <diagonal/>
    </border>
    <border>
      <left/>
      <right style="medium">
        <color indexed="64"/>
      </right>
      <top style="medium">
        <color indexed="64"/>
      </top>
      <bottom/>
      <diagonal/>
    </border>
    <border>
      <left style="thin">
        <color rgb="FF000000"/>
      </left>
      <right style="thin">
        <color rgb="FF000000"/>
      </right>
      <top/>
      <bottom style="medium">
        <color indexed="64"/>
      </bottom>
      <diagonal/>
    </border>
    <border>
      <left/>
      <right style="medium">
        <color indexed="64"/>
      </right>
      <top/>
      <bottom style="medium">
        <color indexed="64"/>
      </bottom>
      <diagonal/>
    </border>
    <border>
      <left/>
      <right style="thin">
        <color rgb="FF000000"/>
      </right>
      <top style="medium">
        <color indexed="64"/>
      </top>
      <bottom style="thin">
        <color rgb="FF000000"/>
      </bottom>
      <diagonal/>
    </border>
    <border>
      <left/>
      <right style="thin">
        <color rgb="FF000000"/>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right style="thin">
        <color rgb="FF000000"/>
      </right>
      <top/>
      <bottom/>
      <diagonal/>
    </border>
    <border>
      <left style="medium">
        <color auto="1"/>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auto="1"/>
      </left>
      <right style="thin">
        <color rgb="FF000000"/>
      </right>
      <top/>
      <bottom style="medium">
        <color rgb="FF000000"/>
      </bottom>
      <diagonal/>
    </border>
    <border>
      <left style="thin">
        <color rgb="FF000000"/>
      </left>
      <right style="medium">
        <color indexed="64"/>
      </right>
      <top/>
      <bottom style="medium">
        <color rgb="FF000000"/>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thick">
        <color auto="1"/>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style="thick">
        <color auto="1"/>
      </right>
      <top style="thin">
        <color auto="1"/>
      </top>
      <bottom style="thick">
        <color auto="1"/>
      </bottom>
      <diagonal/>
    </border>
    <border>
      <left style="medium">
        <color indexed="64"/>
      </left>
      <right style="thin">
        <color indexed="64"/>
      </right>
      <top/>
      <bottom/>
      <diagonal/>
    </border>
    <border>
      <left style="medium">
        <color indexed="64"/>
      </left>
      <right style="medium">
        <color indexed="64"/>
      </right>
      <top/>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indexed="64"/>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5D5D5D"/>
      </bottom>
      <diagonal/>
    </border>
    <border>
      <left/>
      <right style="thin">
        <color rgb="FF939393"/>
      </right>
      <top style="thin">
        <color rgb="FF000000"/>
      </top>
      <bottom style="thin">
        <color rgb="FF5D5D5D"/>
      </bottom>
      <diagonal/>
    </border>
    <border>
      <left style="thin">
        <color rgb="FF939393"/>
      </left>
      <right/>
      <top style="thin">
        <color rgb="FF000000"/>
      </top>
      <bottom style="thin">
        <color rgb="FF5D5D5D"/>
      </bottom>
      <diagonal/>
    </border>
    <border>
      <left/>
      <right style="thin">
        <color rgb="FF000000"/>
      </right>
      <top style="thin">
        <color rgb="FF000000"/>
      </top>
      <bottom style="thin">
        <color rgb="FF5D5D5D"/>
      </bottom>
      <diagonal/>
    </border>
    <border>
      <left style="thin">
        <color rgb="FF000000"/>
      </left>
      <right/>
      <top style="thin">
        <color rgb="FF5D5D5D"/>
      </top>
      <bottom style="thin">
        <color rgb="FF000000"/>
      </bottom>
      <diagonal/>
    </border>
    <border>
      <left/>
      <right/>
      <top style="thin">
        <color rgb="FF5D5D5D"/>
      </top>
      <bottom style="thin">
        <color rgb="FF000000"/>
      </bottom>
      <diagonal/>
    </border>
    <border>
      <left/>
      <right style="thin">
        <color rgb="FF000000"/>
      </right>
      <top style="thin">
        <color rgb="FF5D5D5D"/>
      </top>
      <bottom style="thin">
        <color rgb="FF000000"/>
      </bottom>
      <diagonal/>
    </border>
    <border>
      <left/>
      <right style="thin">
        <color rgb="FF666666"/>
      </right>
      <top style="thin">
        <color rgb="FF000000"/>
      </top>
      <bottom/>
      <diagonal/>
    </border>
    <border>
      <left style="thin">
        <color rgb="FF666666"/>
      </left>
      <right/>
      <top style="thin">
        <color rgb="FF000000"/>
      </top>
      <bottom style="thin">
        <color rgb="FFBBBBBB"/>
      </bottom>
      <diagonal/>
    </border>
    <border>
      <left/>
      <right style="thin">
        <color rgb="FF666666"/>
      </right>
      <top style="thin">
        <color rgb="FF000000"/>
      </top>
      <bottom style="thin">
        <color rgb="FFBBBBBB"/>
      </bottom>
      <diagonal/>
    </border>
    <border>
      <left/>
      <right style="thin">
        <color rgb="FF000000"/>
      </right>
      <top style="thin">
        <color rgb="FF000000"/>
      </top>
      <bottom style="thin">
        <color rgb="FFBBBBBB"/>
      </bottom>
      <diagonal/>
    </border>
    <border>
      <left style="thin">
        <color rgb="FF000000"/>
      </left>
      <right/>
      <top/>
      <bottom style="medium">
        <color rgb="FF000000"/>
      </bottom>
      <diagonal/>
    </border>
    <border>
      <left/>
      <right style="thin">
        <color rgb="FF666666"/>
      </right>
      <top/>
      <bottom style="medium">
        <color rgb="FF000000"/>
      </bottom>
      <diagonal/>
    </border>
    <border>
      <left style="thin">
        <color rgb="FF666666"/>
      </left>
      <right/>
      <top style="thin">
        <color rgb="FFBBBBBB"/>
      </top>
      <bottom style="medium">
        <color rgb="FF000000"/>
      </bottom>
      <diagonal/>
    </border>
    <border>
      <left/>
      <right style="thin">
        <color rgb="FF666666"/>
      </right>
      <top style="thin">
        <color rgb="FFBBBBBB"/>
      </top>
      <bottom style="medium">
        <color rgb="FF000000"/>
      </bottom>
      <diagonal/>
    </border>
    <border>
      <left/>
      <right style="thin">
        <color rgb="FF000000"/>
      </right>
      <top style="thin">
        <color rgb="FFBBBBBB"/>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939393"/>
      </bottom>
      <diagonal/>
    </border>
    <border>
      <left/>
      <right style="thin">
        <color rgb="FF939393"/>
      </right>
      <top style="thin">
        <color rgb="FF000000"/>
      </top>
      <bottom style="thin">
        <color rgb="FF939393"/>
      </bottom>
      <diagonal/>
    </border>
    <border>
      <left style="thin">
        <color rgb="FF939393"/>
      </left>
      <right/>
      <top style="thin">
        <color rgb="FF000000"/>
      </top>
      <bottom style="thin">
        <color rgb="FF939393"/>
      </bottom>
      <diagonal/>
    </border>
    <border>
      <left/>
      <right/>
      <top style="thin">
        <color rgb="FF000000"/>
      </top>
      <bottom style="thin">
        <color rgb="FF939393"/>
      </bottom>
      <diagonal/>
    </border>
    <border>
      <left/>
      <right style="thin">
        <color rgb="FF000000"/>
      </right>
      <top style="thin">
        <color rgb="FF000000"/>
      </top>
      <bottom style="thin">
        <color rgb="FF939393"/>
      </bottom>
      <diagonal/>
    </border>
    <border>
      <left style="thin">
        <color rgb="FF000000"/>
      </left>
      <right/>
      <top style="thin">
        <color rgb="FF939393"/>
      </top>
      <bottom/>
      <diagonal/>
    </border>
    <border>
      <left/>
      <right style="thin">
        <color rgb="FF939393"/>
      </right>
      <top style="thin">
        <color rgb="FF939393"/>
      </top>
      <bottom/>
      <diagonal/>
    </border>
    <border>
      <left style="thin">
        <color rgb="FF939393"/>
      </left>
      <right/>
      <top style="thin">
        <color rgb="FF939393"/>
      </top>
      <bottom/>
      <diagonal/>
    </border>
    <border>
      <left/>
      <right/>
      <top style="thin">
        <color rgb="FF939393"/>
      </top>
      <bottom/>
      <diagonal/>
    </border>
    <border>
      <left/>
      <right style="thin">
        <color rgb="FF000000"/>
      </right>
      <top style="thin">
        <color rgb="FF939393"/>
      </top>
      <bottom/>
      <diagonal/>
    </border>
    <border>
      <left/>
      <right style="thin">
        <color rgb="FF939393"/>
      </right>
      <top/>
      <bottom style="thin">
        <color rgb="FF000000"/>
      </bottom>
      <diagonal/>
    </border>
    <border>
      <left style="thin">
        <color rgb="FF939393"/>
      </left>
      <right/>
      <top/>
      <bottom style="thin">
        <color rgb="FF000000"/>
      </bottom>
      <diagonal/>
    </border>
    <border>
      <left/>
      <right style="thin">
        <color rgb="FF939393"/>
      </right>
      <top style="thin">
        <color rgb="FF000000"/>
      </top>
      <bottom/>
      <diagonal/>
    </border>
    <border>
      <left style="thin">
        <color rgb="FF939393"/>
      </left>
      <right/>
      <top style="thin">
        <color rgb="FF000000"/>
      </top>
      <bottom/>
      <diagonal/>
    </border>
    <border>
      <left/>
      <right style="thin">
        <color rgb="FF939393"/>
      </right>
      <top/>
      <bottom style="medium">
        <color rgb="FF000000"/>
      </bottom>
      <diagonal/>
    </border>
    <border>
      <left style="thin">
        <color rgb="FF939393"/>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bottom/>
      <diagonal/>
    </border>
    <border>
      <left style="thin">
        <color rgb="FF000000"/>
      </left>
      <right/>
      <top/>
      <bottom style="thick">
        <color rgb="FF666666"/>
      </bottom>
      <diagonal/>
    </border>
    <border>
      <left/>
      <right/>
      <top/>
      <bottom style="thick">
        <color rgb="FF666666"/>
      </bottom>
      <diagonal/>
    </border>
    <border>
      <left/>
      <right style="thin">
        <color rgb="FF000000"/>
      </right>
      <top/>
      <bottom style="thick">
        <color rgb="FF666666"/>
      </bottom>
      <diagonal/>
    </border>
    <border>
      <left style="thin">
        <color rgb="FF000000"/>
      </left>
      <right/>
      <top style="thick">
        <color rgb="FF666666"/>
      </top>
      <bottom style="thin">
        <color rgb="FF5D5D5D"/>
      </bottom>
      <diagonal/>
    </border>
    <border>
      <left/>
      <right/>
      <top style="thick">
        <color rgb="FF666666"/>
      </top>
      <bottom style="thin">
        <color rgb="FF5D5D5D"/>
      </bottom>
      <diagonal/>
    </border>
    <border>
      <left/>
      <right style="thin">
        <color rgb="FF000000"/>
      </right>
      <top style="thick">
        <color rgb="FF666666"/>
      </top>
      <bottom style="thin">
        <color rgb="FF5D5D5D"/>
      </bottom>
      <diagonal/>
    </border>
    <border>
      <left style="thin">
        <color rgb="FF000000"/>
      </left>
      <right style="thin">
        <color rgb="FF939393"/>
      </right>
      <top style="thin">
        <color rgb="FF5D5D5D"/>
      </top>
      <bottom/>
      <diagonal/>
    </border>
    <border>
      <left style="thin">
        <color rgb="FF939393"/>
      </left>
      <right/>
      <top style="thin">
        <color rgb="FF5D5D5D"/>
      </top>
      <bottom/>
      <diagonal/>
    </border>
    <border>
      <left/>
      <right/>
      <top style="thin">
        <color rgb="FF5D5D5D"/>
      </top>
      <bottom/>
      <diagonal/>
    </border>
    <border>
      <left/>
      <right style="thin">
        <color rgb="FF939393"/>
      </right>
      <top style="thin">
        <color rgb="FF5D5D5D"/>
      </top>
      <bottom/>
      <diagonal/>
    </border>
    <border>
      <left style="thin">
        <color rgb="FF939393"/>
      </left>
      <right style="thin">
        <color rgb="FF000000"/>
      </right>
      <top style="thin">
        <color rgb="FF5D5D5D"/>
      </top>
      <bottom/>
      <diagonal/>
    </border>
    <border>
      <left style="thin">
        <color rgb="FF000000"/>
      </left>
      <right style="thin">
        <color rgb="FF939393"/>
      </right>
      <top/>
      <bottom style="thin">
        <color rgb="FF000000"/>
      </bottom>
      <diagonal/>
    </border>
    <border>
      <left style="thin">
        <color rgb="FF939393"/>
      </left>
      <right style="thin">
        <color rgb="FF000000"/>
      </right>
      <top/>
      <bottom/>
      <diagonal/>
    </border>
    <border>
      <left/>
      <right/>
      <top style="thin">
        <color rgb="FF000000"/>
      </top>
      <bottom style="thin">
        <color rgb="FF5D5D5D"/>
      </bottom>
      <diagonal/>
    </border>
    <border>
      <left style="thick">
        <color rgb="FF666666"/>
      </left>
      <right/>
      <top style="thick">
        <color rgb="FF666666"/>
      </top>
      <bottom/>
      <diagonal/>
    </border>
    <border>
      <left/>
      <right/>
      <top style="thick">
        <color rgb="FF666666"/>
      </top>
      <bottom/>
      <diagonal/>
    </border>
    <border>
      <left/>
      <right style="thick">
        <color rgb="FF666666"/>
      </right>
      <top style="thick">
        <color rgb="FF666666"/>
      </top>
      <bottom/>
      <diagonal/>
    </border>
    <border>
      <left style="thick">
        <color rgb="FF666666"/>
      </left>
      <right/>
      <top style="thin">
        <color rgb="FF000000"/>
      </top>
      <bottom/>
      <diagonal/>
    </border>
    <border>
      <left style="thick">
        <color rgb="FF666666"/>
      </left>
      <right/>
      <top/>
      <bottom style="thin">
        <color rgb="FF000000"/>
      </bottom>
      <diagonal/>
    </border>
    <border>
      <left/>
      <right style="thick">
        <color rgb="FF666666"/>
      </right>
      <top/>
      <bottom style="thin">
        <color rgb="FF000000"/>
      </bottom>
      <diagonal/>
    </border>
    <border>
      <left style="thick">
        <color rgb="FF666666"/>
      </left>
      <right/>
      <top style="thin">
        <color rgb="FF000000"/>
      </top>
      <bottom style="thin">
        <color rgb="FF5D5D5D"/>
      </bottom>
      <diagonal/>
    </border>
    <border>
      <left/>
      <right style="thick">
        <color rgb="FF666666"/>
      </right>
      <top style="thin">
        <color rgb="FF000000"/>
      </top>
      <bottom style="thin">
        <color rgb="FF5D5D5D"/>
      </bottom>
      <diagonal/>
    </border>
    <border>
      <left style="thick">
        <color rgb="FF666666"/>
      </left>
      <right/>
      <top style="thin">
        <color rgb="FF5D5D5D"/>
      </top>
      <bottom style="thin">
        <color rgb="FF000000"/>
      </bottom>
      <diagonal/>
    </border>
    <border>
      <left/>
      <right style="thick">
        <color rgb="FF666666"/>
      </right>
      <top style="thin">
        <color rgb="FF5D5D5D"/>
      </top>
      <bottom style="thin">
        <color rgb="FF000000"/>
      </bottom>
      <diagonal/>
    </border>
    <border>
      <left/>
      <right style="thick">
        <color rgb="FF666666"/>
      </right>
      <top style="thin">
        <color rgb="FF000000"/>
      </top>
      <bottom style="thin">
        <color rgb="FFBBBBBB"/>
      </bottom>
      <diagonal/>
    </border>
    <border>
      <left style="thick">
        <color rgb="FF666666"/>
      </left>
      <right/>
      <top/>
      <bottom style="medium">
        <color rgb="FF000000"/>
      </bottom>
      <diagonal/>
    </border>
    <border>
      <left/>
      <right style="thick">
        <color rgb="FF666666"/>
      </right>
      <top style="thin">
        <color rgb="FFBBBBBB"/>
      </top>
      <bottom style="medium">
        <color rgb="FF000000"/>
      </bottom>
      <diagonal/>
    </border>
    <border>
      <left style="thick">
        <color rgb="FF666666"/>
      </left>
      <right/>
      <top style="medium">
        <color rgb="FF000000"/>
      </top>
      <bottom/>
      <diagonal/>
    </border>
    <border>
      <left/>
      <right style="thick">
        <color rgb="FF666666"/>
      </right>
      <top style="medium">
        <color rgb="FF000000"/>
      </top>
      <bottom/>
      <diagonal/>
    </border>
    <border>
      <left style="thick">
        <color rgb="FF666666"/>
      </left>
      <right/>
      <top/>
      <bottom/>
      <diagonal/>
    </border>
    <border>
      <left/>
      <right style="thick">
        <color rgb="FF666666"/>
      </right>
      <top/>
      <bottom/>
      <diagonal/>
    </border>
    <border>
      <left style="thick">
        <color rgb="FF666666"/>
      </left>
      <right/>
      <top/>
      <bottom style="thick">
        <color rgb="FF666666"/>
      </bottom>
      <diagonal/>
    </border>
    <border>
      <left/>
      <right style="thick">
        <color rgb="FF666666"/>
      </right>
      <top/>
      <bottom style="thick">
        <color rgb="FF666666"/>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thin">
        <color indexed="64"/>
      </top>
      <bottom style="medium">
        <color indexed="64"/>
      </bottom>
      <diagonal/>
    </border>
    <border>
      <left style="medium">
        <color indexed="64"/>
      </left>
      <right style="medium">
        <color indexed="64"/>
      </right>
      <top style="medium">
        <color indexed="64"/>
      </top>
      <bottom style="thick">
        <color indexed="64"/>
      </bottom>
      <diagonal/>
    </border>
    <border>
      <left/>
      <right style="thick">
        <color auto="1"/>
      </right>
      <top style="thick">
        <color auto="1"/>
      </top>
      <bottom style="thick">
        <color auto="1"/>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auto="1"/>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Down="1">
      <left style="medium">
        <color indexed="64"/>
      </left>
      <right style="medium">
        <color indexed="64"/>
      </right>
      <top style="medium">
        <color indexed="64"/>
      </top>
      <bottom style="thin">
        <color indexed="64"/>
      </bottom>
      <diagonal style="thin">
        <color indexed="64"/>
      </diagonal>
    </border>
    <border>
      <left style="medium">
        <color auto="1"/>
      </left>
      <right style="thin">
        <color rgb="FF000000"/>
      </right>
      <top style="medium">
        <color rgb="FF000000"/>
      </top>
      <bottom/>
      <diagonal/>
    </border>
    <border>
      <left style="thin">
        <color rgb="FF000000"/>
      </left>
      <right style="medium">
        <color indexed="64"/>
      </right>
      <top style="medium">
        <color rgb="FF000000"/>
      </top>
      <bottom/>
      <diagonal/>
    </border>
    <border>
      <left/>
      <right style="medium">
        <color indexed="64"/>
      </right>
      <top style="thin">
        <color indexed="64"/>
      </top>
      <bottom/>
      <diagonal/>
    </border>
    <border>
      <left style="medium">
        <color indexed="64"/>
      </left>
      <right/>
      <top style="thin">
        <color indexed="64"/>
      </top>
      <bottom/>
      <diagonal/>
    </border>
    <border diagonalDown="1">
      <left style="medium">
        <color indexed="64"/>
      </left>
      <right style="medium">
        <color indexed="64"/>
      </right>
      <top style="thin">
        <color indexed="64"/>
      </top>
      <bottom style="medium">
        <color indexed="64"/>
      </bottom>
      <diagonal style="thin">
        <color indexed="64"/>
      </diagonal>
    </border>
    <border>
      <left style="medium">
        <color indexed="64"/>
      </left>
      <right/>
      <top style="thick">
        <color indexed="64"/>
      </top>
      <bottom style="thin">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style="thin">
        <color indexed="64"/>
      </bottom>
      <diagonal/>
    </border>
    <border diagonalDown="1">
      <left style="medium">
        <color indexed="64"/>
      </left>
      <right style="thin">
        <color indexed="64"/>
      </right>
      <top style="thin">
        <color indexed="64"/>
      </top>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diagonalDown="1">
      <left style="medium">
        <color indexed="64"/>
      </left>
      <right/>
      <top style="medium">
        <color indexed="64"/>
      </top>
      <bottom style="thin">
        <color indexed="64"/>
      </bottom>
      <diagonal style="thin">
        <color indexed="64"/>
      </diagonal>
    </border>
    <border diagonalDown="1">
      <left style="medium">
        <color indexed="64"/>
      </left>
      <right/>
      <top style="thin">
        <color indexed="64"/>
      </top>
      <bottom style="thin">
        <color indexed="64"/>
      </bottom>
      <diagonal style="thin">
        <color indexed="64"/>
      </diagonal>
    </border>
    <border>
      <left style="thin">
        <color indexed="64"/>
      </left>
      <right/>
      <top style="medium">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medium">
        <color indexed="64"/>
      </right>
      <top/>
      <bottom/>
      <diagonal/>
    </border>
  </borders>
  <cellStyleXfs count="10">
    <xf numFmtId="0" fontId="0" fillId="0" borderId="0">
      <alignment vertical="center"/>
    </xf>
    <xf numFmtId="41" fontId="4" fillId="0" borderId="0" applyFont="0" applyFill="0" applyBorder="0" applyAlignment="0" applyProtection="0">
      <alignment vertical="center"/>
    </xf>
    <xf numFmtId="9" fontId="4" fillId="0" borderId="0" applyFont="0" applyFill="0" applyBorder="0" applyAlignment="0" applyProtection="0">
      <alignment vertical="center"/>
    </xf>
    <xf numFmtId="0" fontId="32" fillId="0" borderId="0">
      <alignment vertical="center"/>
    </xf>
    <xf numFmtId="0" fontId="32" fillId="0" borderId="0"/>
    <xf numFmtId="0" fontId="32" fillId="0" borderId="0">
      <alignment vertical="center"/>
    </xf>
    <xf numFmtId="41" fontId="32" fillId="0" borderId="0" applyFont="0" applyFill="0" applyBorder="0" applyAlignment="0" applyProtection="0"/>
    <xf numFmtId="0" fontId="32" fillId="0" borderId="0"/>
    <xf numFmtId="0" fontId="32" fillId="0" borderId="0"/>
    <xf numFmtId="41" fontId="32" fillId="0" borderId="0" applyFont="0" applyFill="0" applyBorder="0" applyAlignment="0" applyProtection="0">
      <alignment vertical="center"/>
    </xf>
  </cellStyleXfs>
  <cellXfs count="1804">
    <xf numFmtId="0" fontId="0" fillId="0" borderId="0" xfId="0">
      <alignment vertical="center"/>
    </xf>
    <xf numFmtId="0" fontId="11" fillId="0" borderId="0" xfId="0" applyFont="1">
      <alignment vertical="center"/>
    </xf>
    <xf numFmtId="0" fontId="3" fillId="3" borderId="36" xfId="0" applyFont="1" applyFill="1" applyBorder="1" applyAlignment="1">
      <alignment horizontal="center" vertical="center" wrapText="1"/>
    </xf>
    <xf numFmtId="0" fontId="8" fillId="0" borderId="34" xfId="3" applyFont="1" applyBorder="1" applyAlignment="1" applyProtection="1">
      <alignment horizontal="left" vertical="center" shrinkToFit="1"/>
      <protection hidden="1"/>
    </xf>
    <xf numFmtId="0" fontId="0" fillId="0" borderId="34" xfId="0" applyBorder="1" applyAlignment="1" applyProtection="1">
      <alignment horizontal="center" vertical="center"/>
      <protection hidden="1"/>
    </xf>
    <xf numFmtId="0" fontId="40" fillId="14" borderId="95" xfId="0" applyFont="1" applyFill="1" applyBorder="1" applyAlignment="1">
      <alignment horizontal="left" vertical="center" wrapText="1"/>
    </xf>
    <xf numFmtId="177" fontId="40" fillId="14" borderId="95" xfId="0" applyNumberFormat="1" applyFont="1" applyFill="1" applyBorder="1" applyAlignment="1">
      <alignment horizontal="right" vertical="center" wrapText="1"/>
    </xf>
    <xf numFmtId="177" fontId="40" fillId="11" borderId="0" xfId="0" applyNumberFormat="1" applyFont="1" applyFill="1" applyAlignment="1" applyProtection="1">
      <alignment horizontal="right" vertical="center" wrapText="1"/>
      <protection locked="0"/>
    </xf>
    <xf numFmtId="0" fontId="0" fillId="11" borderId="0" xfId="0" applyFill="1">
      <alignment vertical="center"/>
    </xf>
    <xf numFmtId="0" fontId="40" fillId="15" borderId="2" xfId="0" applyFont="1" applyFill="1" applyBorder="1" applyAlignment="1">
      <alignment horizontal="left" vertical="center" wrapText="1"/>
    </xf>
    <xf numFmtId="177" fontId="40" fillId="15" borderId="2" xfId="0" applyNumberFormat="1" applyFont="1" applyFill="1" applyBorder="1" applyAlignment="1">
      <alignment horizontal="right" vertical="center" wrapText="1"/>
    </xf>
    <xf numFmtId="0" fontId="40" fillId="14" borderId="2" xfId="0" applyFont="1" applyFill="1" applyBorder="1" applyAlignment="1">
      <alignment horizontal="left" vertical="center" wrapText="1"/>
    </xf>
    <xf numFmtId="177" fontId="40" fillId="14" borderId="2" xfId="0" applyNumberFormat="1" applyFont="1" applyFill="1" applyBorder="1" applyAlignment="1">
      <alignment horizontal="right" vertical="center" wrapText="1"/>
    </xf>
    <xf numFmtId="177" fontId="40" fillId="11" borderId="98" xfId="0" applyNumberFormat="1" applyFont="1" applyFill="1" applyBorder="1" applyAlignment="1" applyProtection="1">
      <alignment horizontal="right" vertical="center" wrapText="1"/>
      <protection locked="0"/>
    </xf>
    <xf numFmtId="0" fontId="43" fillId="4" borderId="99" xfId="0" applyFont="1" applyFill="1" applyBorder="1" applyAlignment="1">
      <alignment horizontal="left" vertical="center" shrinkToFit="1"/>
    </xf>
    <xf numFmtId="177" fontId="43" fillId="4" borderId="100" xfId="0" applyNumberFormat="1" applyFont="1" applyFill="1" applyBorder="1" applyAlignment="1">
      <alignment horizontal="right" vertical="center" wrapText="1"/>
    </xf>
    <xf numFmtId="0" fontId="43" fillId="4" borderId="101" xfId="0" applyFont="1" applyFill="1" applyBorder="1" applyAlignment="1">
      <alignment horizontal="left" vertical="center" shrinkToFit="1"/>
    </xf>
    <xf numFmtId="177" fontId="43" fillId="4" borderId="102" xfId="0" applyNumberFormat="1" applyFont="1" applyFill="1" applyBorder="1" applyAlignment="1">
      <alignment horizontal="right" vertical="center" wrapText="1"/>
    </xf>
    <xf numFmtId="0" fontId="44" fillId="11" borderId="34" xfId="0" applyFont="1" applyFill="1" applyBorder="1" applyAlignment="1">
      <alignment horizontal="center" vertical="center"/>
    </xf>
    <xf numFmtId="0" fontId="43" fillId="3" borderId="101" xfId="0" applyFont="1" applyFill="1" applyBorder="1" applyAlignment="1">
      <alignment horizontal="left" vertical="center" wrapText="1"/>
    </xf>
    <xf numFmtId="177" fontId="43" fillId="3" borderId="102" xfId="0" applyNumberFormat="1" applyFont="1" applyFill="1" applyBorder="1" applyAlignment="1">
      <alignment horizontal="right" vertical="center" wrapText="1"/>
    </xf>
    <xf numFmtId="0" fontId="44" fillId="11" borderId="57" xfId="0" applyFont="1" applyFill="1" applyBorder="1" applyAlignment="1">
      <alignment horizontal="center" vertical="center"/>
    </xf>
    <xf numFmtId="0" fontId="43" fillId="3" borderId="103" xfId="0" applyFont="1" applyFill="1" applyBorder="1" applyAlignment="1">
      <alignment horizontal="left" vertical="center" wrapText="1"/>
    </xf>
    <xf numFmtId="177" fontId="43" fillId="3" borderId="104" xfId="0" applyNumberFormat="1" applyFont="1" applyFill="1" applyBorder="1" applyAlignment="1">
      <alignment horizontal="right" vertical="center" wrapText="1"/>
    </xf>
    <xf numFmtId="0" fontId="40" fillId="4" borderId="101" xfId="0" applyFont="1" applyFill="1" applyBorder="1" applyAlignment="1">
      <alignment horizontal="left" vertical="center" wrapText="1"/>
    </xf>
    <xf numFmtId="177" fontId="40" fillId="4" borderId="102" xfId="0" applyNumberFormat="1" applyFont="1" applyFill="1" applyBorder="1" applyAlignment="1">
      <alignment horizontal="right" vertical="center" wrapText="1"/>
    </xf>
    <xf numFmtId="0" fontId="40" fillId="3" borderId="101" xfId="0" applyFont="1" applyFill="1" applyBorder="1" applyAlignment="1">
      <alignment horizontal="left" vertical="center" wrapText="1"/>
    </xf>
    <xf numFmtId="177" fontId="40" fillId="3" borderId="102" xfId="0" applyNumberFormat="1" applyFont="1" applyFill="1" applyBorder="1" applyAlignment="1">
      <alignment horizontal="right" vertical="center" wrapText="1"/>
    </xf>
    <xf numFmtId="0" fontId="45" fillId="6" borderId="103" xfId="0" applyFont="1" applyFill="1" applyBorder="1" applyAlignment="1">
      <alignment horizontal="left" vertical="center" wrapText="1"/>
    </xf>
    <xf numFmtId="0" fontId="25" fillId="0" borderId="54" xfId="0" applyFont="1" applyBorder="1">
      <alignment vertical="center"/>
    </xf>
    <xf numFmtId="0" fontId="25" fillId="0" borderId="25" xfId="0" applyFont="1" applyBorder="1" applyAlignment="1">
      <alignment horizontal="right" vertical="center"/>
    </xf>
    <xf numFmtId="0" fontId="45" fillId="0" borderId="34" xfId="0" applyFont="1" applyBorder="1" applyAlignment="1">
      <alignment horizontal="left" vertical="center" wrapText="1"/>
    </xf>
    <xf numFmtId="10" fontId="45" fillId="0" borderId="32" xfId="2" applyNumberFormat="1" applyFont="1" applyFill="1" applyBorder="1" applyAlignment="1">
      <alignment horizontal="right" vertical="center" wrapText="1"/>
    </xf>
    <xf numFmtId="0" fontId="40" fillId="4" borderId="34" xfId="0" applyFont="1" applyFill="1" applyBorder="1" applyAlignment="1">
      <alignment horizontal="left" vertical="center" wrapText="1"/>
    </xf>
    <xf numFmtId="177" fontId="40" fillId="4" borderId="32" xfId="0" applyNumberFormat="1" applyFont="1" applyFill="1" applyBorder="1" applyAlignment="1">
      <alignment horizontal="right" vertical="center" wrapText="1"/>
    </xf>
    <xf numFmtId="0" fontId="40" fillId="3" borderId="34" xfId="0" applyFont="1" applyFill="1" applyBorder="1" applyAlignment="1">
      <alignment horizontal="left" vertical="center" wrapText="1"/>
    </xf>
    <xf numFmtId="177" fontId="40" fillId="3" borderId="32" xfId="0" applyNumberFormat="1" applyFont="1" applyFill="1" applyBorder="1" applyAlignment="1">
      <alignment horizontal="right" vertical="center" wrapText="1"/>
    </xf>
    <xf numFmtId="0" fontId="42" fillId="0" borderId="107" xfId="0" applyFont="1" applyBorder="1" applyAlignment="1">
      <alignment horizontal="center" vertical="center" wrapText="1"/>
    </xf>
    <xf numFmtId="0" fontId="42" fillId="0" borderId="108" xfId="0" applyFont="1" applyBorder="1" applyAlignment="1">
      <alignment horizontal="center" vertical="center" wrapText="1"/>
    </xf>
    <xf numFmtId="0" fontId="37" fillId="11" borderId="0" xfId="0" applyFont="1" applyFill="1" applyAlignment="1">
      <alignment vertical="center" wrapText="1"/>
    </xf>
    <xf numFmtId="0" fontId="3" fillId="15" borderId="2" xfId="0" applyFont="1" applyFill="1" applyBorder="1" applyAlignment="1">
      <alignment horizontal="center" vertical="center" wrapText="1"/>
    </xf>
    <xf numFmtId="0" fontId="3" fillId="14" borderId="2" xfId="0" applyFont="1" applyFill="1" applyBorder="1" applyAlignment="1">
      <alignment horizontal="center" vertical="center" wrapText="1"/>
    </xf>
    <xf numFmtId="177" fontId="40" fillId="14" borderId="0" xfId="0" applyNumberFormat="1" applyFont="1" applyFill="1" applyAlignment="1" applyProtection="1">
      <alignment horizontal="right" vertical="center" wrapText="1"/>
      <protection locked="0"/>
    </xf>
    <xf numFmtId="0" fontId="45" fillId="15" borderId="2" xfId="0" applyFont="1" applyFill="1" applyBorder="1" applyAlignment="1">
      <alignment horizontal="left" vertical="center" wrapText="1"/>
    </xf>
    <xf numFmtId="0" fontId="45" fillId="14" borderId="2" xfId="0" applyFont="1" applyFill="1" applyBorder="1" applyAlignment="1">
      <alignment horizontal="left" vertical="center" wrapText="1"/>
    </xf>
    <xf numFmtId="0" fontId="47" fillId="11" borderId="0" xfId="0" applyFont="1" applyFill="1" applyAlignment="1">
      <alignment horizontal="center" vertical="center"/>
    </xf>
    <xf numFmtId="0" fontId="46" fillId="11" borderId="0" xfId="0" applyFont="1" applyFill="1" applyAlignment="1">
      <alignment horizontal="center" vertical="center"/>
    </xf>
    <xf numFmtId="0" fontId="48" fillId="11" borderId="0" xfId="0" applyFont="1" applyFill="1">
      <alignment vertical="center"/>
    </xf>
    <xf numFmtId="0" fontId="11" fillId="11" borderId="0" xfId="0" applyFont="1" applyFill="1">
      <alignment vertical="center"/>
    </xf>
    <xf numFmtId="0" fontId="46" fillId="0" borderId="0" xfId="5" applyFont="1">
      <alignment vertical="center"/>
    </xf>
    <xf numFmtId="0" fontId="46" fillId="11" borderId="0" xfId="5" applyFont="1" applyFill="1">
      <alignment vertical="center"/>
    </xf>
    <xf numFmtId="0" fontId="46" fillId="11" borderId="36" xfId="5" applyFont="1" applyFill="1" applyBorder="1" applyAlignment="1">
      <alignment horizontal="center" vertical="center"/>
    </xf>
    <xf numFmtId="0" fontId="46" fillId="11" borderId="36" xfId="5" applyFont="1" applyFill="1" applyBorder="1" applyAlignment="1">
      <alignment horizontal="center" vertical="center" wrapText="1"/>
    </xf>
    <xf numFmtId="41" fontId="46" fillId="11" borderId="36" xfId="5" applyNumberFormat="1" applyFont="1" applyFill="1" applyBorder="1" applyAlignment="1">
      <alignment horizontal="center" vertical="center"/>
    </xf>
    <xf numFmtId="41" fontId="46" fillId="11" borderId="36" xfId="6" applyFont="1" applyFill="1" applyBorder="1" applyAlignment="1">
      <alignment horizontal="center" vertical="center"/>
    </xf>
    <xf numFmtId="0" fontId="46" fillId="11" borderId="0" xfId="5" applyFont="1" applyFill="1" applyProtection="1">
      <alignment vertical="center"/>
      <protection hidden="1"/>
    </xf>
    <xf numFmtId="0" fontId="46" fillId="11" borderId="0" xfId="5" applyFont="1" applyFill="1" applyAlignment="1">
      <alignment horizontal="left" vertical="center"/>
    </xf>
    <xf numFmtId="0" fontId="46" fillId="11" borderId="0" xfId="7" applyFont="1" applyFill="1" applyAlignment="1">
      <alignment vertical="center"/>
    </xf>
    <xf numFmtId="0" fontId="46" fillId="11" borderId="0" xfId="5" applyFont="1" applyFill="1" applyAlignment="1">
      <alignment horizontal="center" vertical="center"/>
    </xf>
    <xf numFmtId="0" fontId="47" fillId="11" borderId="0" xfId="4" applyFont="1" applyFill="1" applyProtection="1">
      <protection hidden="1"/>
    </xf>
    <xf numFmtId="0" fontId="46" fillId="11" borderId="0" xfId="4" applyFont="1" applyFill="1" applyAlignment="1" applyProtection="1">
      <alignment horizontal="center"/>
      <protection hidden="1"/>
    </xf>
    <xf numFmtId="0" fontId="46" fillId="11" borderId="0" xfId="4" applyFont="1" applyFill="1" applyProtection="1">
      <protection hidden="1"/>
    </xf>
    <xf numFmtId="0" fontId="46" fillId="11" borderId="0" xfId="4" applyFont="1" applyFill="1" applyAlignment="1" applyProtection="1">
      <alignment horizontal="right"/>
      <protection hidden="1"/>
    </xf>
    <xf numFmtId="0" fontId="46" fillId="11" borderId="56" xfId="4" applyFont="1" applyFill="1" applyBorder="1" applyAlignment="1" applyProtection="1">
      <alignment horizontal="center" vertical="center" wrapText="1"/>
      <protection hidden="1"/>
    </xf>
    <xf numFmtId="0" fontId="46" fillId="11" borderId="25" xfId="4" applyFont="1" applyFill="1" applyBorder="1" applyAlignment="1" applyProtection="1">
      <alignment horizontal="center" vertical="center"/>
      <protection hidden="1"/>
    </xf>
    <xf numFmtId="49" fontId="46" fillId="11" borderId="27" xfId="4" applyNumberFormat="1" applyFont="1" applyFill="1" applyBorder="1" applyAlignment="1" applyProtection="1">
      <alignment horizontal="center" vertical="center"/>
      <protection hidden="1"/>
    </xf>
    <xf numFmtId="49" fontId="46" fillId="11" borderId="29" xfId="4" applyNumberFormat="1" applyFont="1" applyFill="1" applyBorder="1" applyAlignment="1" applyProtection="1">
      <alignment horizontal="center" vertical="center" wrapText="1"/>
      <protection hidden="1"/>
    </xf>
    <xf numFmtId="49" fontId="46" fillId="11" borderId="29" xfId="4" applyNumberFormat="1" applyFont="1" applyFill="1" applyBorder="1" applyAlignment="1" applyProtection="1">
      <alignment horizontal="center" vertical="center"/>
      <protection hidden="1"/>
    </xf>
    <xf numFmtId="177" fontId="46" fillId="11" borderId="29" xfId="4" applyNumberFormat="1" applyFont="1" applyFill="1" applyBorder="1" applyAlignment="1" applyProtection="1">
      <alignment horizontal="right" vertical="center" wrapText="1"/>
      <protection hidden="1"/>
    </xf>
    <xf numFmtId="49" fontId="46" fillId="11" borderId="44" xfId="4" applyNumberFormat="1" applyFont="1" applyFill="1" applyBorder="1" applyAlignment="1" applyProtection="1">
      <alignment horizontal="center" vertical="center"/>
      <protection hidden="1"/>
    </xf>
    <xf numFmtId="49" fontId="46" fillId="11" borderId="42" xfId="4" applyNumberFormat="1" applyFont="1" applyFill="1" applyBorder="1" applyAlignment="1" applyProtection="1">
      <alignment horizontal="center" vertical="center" wrapText="1"/>
      <protection hidden="1"/>
    </xf>
    <xf numFmtId="49" fontId="46" fillId="11" borderId="34" xfId="4" quotePrefix="1" applyNumberFormat="1" applyFont="1" applyFill="1" applyBorder="1" applyAlignment="1" applyProtection="1">
      <alignment horizontal="center" vertical="center"/>
      <protection hidden="1"/>
    </xf>
    <xf numFmtId="49" fontId="46" fillId="11" borderId="36" xfId="4" applyNumberFormat="1" applyFont="1" applyFill="1" applyBorder="1" applyAlignment="1" applyProtection="1">
      <alignment horizontal="center" vertical="center"/>
      <protection hidden="1"/>
    </xf>
    <xf numFmtId="49" fontId="46" fillId="11" borderId="36" xfId="4" applyNumberFormat="1" applyFont="1" applyFill="1" applyBorder="1" applyAlignment="1" applyProtection="1">
      <alignment horizontal="center" vertical="center" wrapText="1"/>
      <protection hidden="1"/>
    </xf>
    <xf numFmtId="177" fontId="46" fillId="11" borderId="36" xfId="4" applyNumberFormat="1" applyFont="1" applyFill="1" applyBorder="1" applyAlignment="1" applyProtection="1">
      <alignment horizontal="right" vertical="center" wrapText="1"/>
      <protection hidden="1"/>
    </xf>
    <xf numFmtId="49" fontId="46" fillId="11" borderId="115" xfId="4" quotePrefix="1" applyNumberFormat="1" applyFont="1" applyFill="1" applyBorder="1" applyAlignment="1" applyProtection="1">
      <alignment horizontal="center" vertical="center"/>
      <protection hidden="1"/>
    </xf>
    <xf numFmtId="49" fontId="46" fillId="11" borderId="85" xfId="4" applyNumberFormat="1" applyFont="1" applyFill="1" applyBorder="1" applyAlignment="1" applyProtection="1">
      <alignment horizontal="center" vertical="center"/>
      <protection hidden="1"/>
    </xf>
    <xf numFmtId="177" fontId="46" fillId="11" borderId="36" xfId="4" applyNumberFormat="1" applyFont="1" applyFill="1" applyBorder="1" applyAlignment="1" applyProtection="1">
      <alignment horizontal="right" vertical="center"/>
      <protection hidden="1"/>
    </xf>
    <xf numFmtId="49" fontId="46" fillId="11" borderId="27" xfId="4" quotePrefix="1" applyNumberFormat="1" applyFont="1" applyFill="1" applyBorder="1" applyAlignment="1" applyProtection="1">
      <alignment horizontal="center" vertical="center"/>
      <protection hidden="1"/>
    </xf>
    <xf numFmtId="49" fontId="46" fillId="11" borderId="28" xfId="4" applyNumberFormat="1" applyFont="1" applyFill="1" applyBorder="1" applyAlignment="1" applyProtection="1">
      <alignment horizontal="center" vertical="center"/>
      <protection hidden="1"/>
    </xf>
    <xf numFmtId="49" fontId="46" fillId="11" borderId="34" xfId="0" applyNumberFormat="1" applyFont="1" applyFill="1" applyBorder="1" applyAlignment="1" applyProtection="1">
      <alignment horizontal="center" vertical="center" shrinkToFit="1"/>
      <protection hidden="1"/>
    </xf>
    <xf numFmtId="49" fontId="46" fillId="11" borderId="36" xfId="0" applyNumberFormat="1" applyFont="1" applyFill="1" applyBorder="1" applyAlignment="1" applyProtection="1">
      <alignment horizontal="center" vertical="center" shrinkToFit="1"/>
      <protection hidden="1"/>
    </xf>
    <xf numFmtId="49" fontId="46" fillId="11" borderId="35" xfId="0" applyNumberFormat="1" applyFont="1" applyFill="1" applyBorder="1" applyAlignment="1" applyProtection="1">
      <alignment horizontal="center" vertical="center" shrinkToFit="1"/>
      <protection hidden="1"/>
    </xf>
    <xf numFmtId="49" fontId="46" fillId="11" borderId="34" xfId="4" applyNumberFormat="1" applyFont="1" applyFill="1" applyBorder="1" applyAlignment="1" applyProtection="1">
      <alignment horizontal="center" vertical="center"/>
      <protection hidden="1"/>
    </xf>
    <xf numFmtId="49" fontId="46" fillId="11" borderId="34" xfId="0" applyNumberFormat="1" applyFont="1" applyFill="1" applyBorder="1" applyAlignment="1" applyProtection="1">
      <alignment horizontal="center" vertical="center"/>
      <protection hidden="1"/>
    </xf>
    <xf numFmtId="49" fontId="46" fillId="11" borderId="36" xfId="0" applyNumberFormat="1" applyFont="1" applyFill="1" applyBorder="1" applyAlignment="1" applyProtection="1">
      <alignment horizontal="center" vertical="center"/>
      <protection hidden="1"/>
    </xf>
    <xf numFmtId="49" fontId="46" fillId="11" borderId="34" xfId="4" applyNumberFormat="1" applyFont="1" applyFill="1" applyBorder="1" applyAlignment="1" applyProtection="1">
      <alignment horizontal="center"/>
      <protection hidden="1"/>
    </xf>
    <xf numFmtId="49" fontId="46" fillId="11" borderId="36" xfId="4" applyNumberFormat="1" applyFont="1" applyFill="1" applyBorder="1" applyAlignment="1" applyProtection="1">
      <alignment horizontal="center"/>
      <protection hidden="1"/>
    </xf>
    <xf numFmtId="49" fontId="46" fillId="11" borderId="36" xfId="0" applyNumberFormat="1" applyFont="1" applyFill="1" applyBorder="1" applyAlignment="1" applyProtection="1">
      <alignment horizontal="left" vertical="center" shrinkToFit="1"/>
      <protection hidden="1"/>
    </xf>
    <xf numFmtId="0" fontId="46" fillId="11" borderId="36" xfId="4" applyFont="1" applyFill="1" applyBorder="1" applyAlignment="1" applyProtection="1">
      <alignment horizontal="center"/>
      <protection hidden="1"/>
    </xf>
    <xf numFmtId="0" fontId="46" fillId="11" borderId="32" xfId="4" applyFont="1" applyFill="1" applyBorder="1" applyProtection="1">
      <protection hidden="1"/>
    </xf>
    <xf numFmtId="177" fontId="46" fillId="11" borderId="32" xfId="4" applyNumberFormat="1" applyFont="1" applyFill="1" applyBorder="1" applyAlignment="1" applyProtection="1">
      <alignment horizontal="right" vertical="center"/>
      <protection hidden="1"/>
    </xf>
    <xf numFmtId="177" fontId="47" fillId="11" borderId="47" xfId="4" applyNumberFormat="1" applyFont="1" applyFill="1" applyBorder="1" applyAlignment="1" applyProtection="1">
      <alignment horizontal="right" vertical="center"/>
      <protection hidden="1"/>
    </xf>
    <xf numFmtId="0" fontId="54" fillId="11" borderId="0" xfId="4" applyFont="1" applyFill="1" applyAlignment="1" applyProtection="1">
      <alignment horizontal="center"/>
      <protection hidden="1"/>
    </xf>
    <xf numFmtId="0" fontId="54" fillId="11" borderId="0" xfId="4" applyFont="1" applyFill="1" applyProtection="1">
      <protection hidden="1"/>
    </xf>
    <xf numFmtId="177" fontId="54" fillId="11" borderId="0" xfId="4" applyNumberFormat="1" applyFont="1" applyFill="1" applyAlignment="1" applyProtection="1">
      <alignment horizontal="center"/>
      <protection hidden="1"/>
    </xf>
    <xf numFmtId="0" fontId="55" fillId="11" borderId="0" xfId="0" applyFont="1" applyFill="1" applyProtection="1">
      <alignment vertical="center"/>
      <protection hidden="1"/>
    </xf>
    <xf numFmtId="0" fontId="0" fillId="11" borderId="0" xfId="0" applyFill="1" applyProtection="1">
      <alignment vertical="center"/>
      <protection hidden="1"/>
    </xf>
    <xf numFmtId="49" fontId="68" fillId="11" borderId="0" xfId="0" applyNumberFormat="1" applyFont="1" applyFill="1" applyAlignment="1" applyProtection="1">
      <protection locked="0" hidden="1"/>
    </xf>
    <xf numFmtId="0" fontId="5" fillId="11" borderId="0" xfId="0" applyFont="1" applyFill="1" applyAlignment="1" applyProtection="1">
      <alignment vertical="center" wrapText="1"/>
      <protection hidden="1"/>
    </xf>
    <xf numFmtId="0" fontId="11" fillId="11" borderId="0" xfId="0" applyFont="1" applyFill="1" applyProtection="1">
      <alignment vertical="center"/>
      <protection hidden="1"/>
    </xf>
    <xf numFmtId="0" fontId="11" fillId="11" borderId="0" xfId="0" applyFont="1" applyFill="1" applyAlignment="1" applyProtection="1">
      <alignment horizontal="center" vertical="center"/>
      <protection hidden="1"/>
    </xf>
    <xf numFmtId="0" fontId="8" fillId="11" borderId="36" xfId="0" applyFont="1" applyFill="1" applyBorder="1" applyAlignment="1" applyProtection="1">
      <alignment horizontal="center" vertical="center" wrapText="1"/>
      <protection hidden="1"/>
    </xf>
    <xf numFmtId="41" fontId="8" fillId="11" borderId="36" xfId="1" applyFont="1" applyFill="1" applyBorder="1" applyAlignment="1" applyProtection="1">
      <alignment horizontal="center" vertical="center" shrinkToFit="1"/>
      <protection hidden="1"/>
    </xf>
    <xf numFmtId="0" fontId="8" fillId="11" borderId="36" xfId="0" applyFont="1" applyFill="1" applyBorder="1" applyAlignment="1" applyProtection="1">
      <alignment horizontal="center" vertical="center" shrinkToFit="1"/>
      <protection hidden="1"/>
    </xf>
    <xf numFmtId="0" fontId="69" fillId="11" borderId="41" xfId="0" applyFont="1" applyFill="1" applyBorder="1" applyAlignment="1" applyProtection="1">
      <alignment horizontal="center" vertical="center" wrapText="1"/>
      <protection hidden="1"/>
    </xf>
    <xf numFmtId="0" fontId="11" fillId="11" borderId="43" xfId="0" applyFont="1" applyFill="1" applyBorder="1" applyProtection="1">
      <alignment vertical="center"/>
      <protection hidden="1"/>
    </xf>
    <xf numFmtId="0" fontId="69" fillId="11" borderId="43" xfId="0" applyFont="1" applyFill="1" applyBorder="1" applyAlignment="1" applyProtection="1">
      <alignment horizontal="center" vertical="center" wrapText="1"/>
      <protection hidden="1"/>
    </xf>
    <xf numFmtId="49" fontId="69" fillId="11" borderId="43" xfId="0" applyNumberFormat="1" applyFont="1" applyFill="1" applyBorder="1" applyAlignment="1" applyProtection="1">
      <alignment horizontal="center" vertical="center" wrapText="1"/>
      <protection hidden="1"/>
    </xf>
    <xf numFmtId="41" fontId="70" fillId="11" borderId="43" xfId="3" applyNumberFormat="1" applyFont="1" applyFill="1" applyBorder="1" applyAlignment="1" applyProtection="1">
      <alignment horizontal="center" vertical="center" wrapText="1"/>
      <protection hidden="1"/>
    </xf>
    <xf numFmtId="41" fontId="8" fillId="11" borderId="43" xfId="9" applyFont="1" applyFill="1" applyBorder="1" applyAlignment="1" applyProtection="1">
      <alignment horizontal="center" vertical="center" wrapText="1"/>
      <protection hidden="1"/>
    </xf>
    <xf numFmtId="0" fontId="8" fillId="11" borderId="199" xfId="3" applyFont="1" applyFill="1" applyBorder="1" applyAlignment="1" applyProtection="1">
      <alignment horizontal="left" vertical="center" shrinkToFit="1"/>
      <protection hidden="1"/>
    </xf>
    <xf numFmtId="0" fontId="8" fillId="11" borderId="200" xfId="3" applyFont="1" applyFill="1" applyBorder="1" applyAlignment="1" applyProtection="1">
      <alignment horizontal="left" vertical="center" shrinkToFit="1"/>
      <protection hidden="1"/>
    </xf>
    <xf numFmtId="0" fontId="11" fillId="11" borderId="200" xfId="0" applyFont="1" applyFill="1" applyBorder="1" applyProtection="1">
      <alignment vertical="center"/>
      <protection hidden="1"/>
    </xf>
    <xf numFmtId="0" fontId="11" fillId="11" borderId="200" xfId="0" applyFont="1" applyFill="1" applyBorder="1" applyAlignment="1" applyProtection="1">
      <alignment horizontal="center" vertical="center"/>
      <protection hidden="1"/>
    </xf>
    <xf numFmtId="188" fontId="11" fillId="11" borderId="43" xfId="0" applyNumberFormat="1" applyFont="1" applyFill="1" applyBorder="1" applyProtection="1">
      <alignment vertical="center"/>
      <protection hidden="1"/>
    </xf>
    <xf numFmtId="49" fontId="15" fillId="11" borderId="90" xfId="0" applyNumberFormat="1" applyFont="1" applyFill="1" applyBorder="1" applyProtection="1">
      <alignment vertical="center"/>
      <protection hidden="1"/>
    </xf>
    <xf numFmtId="0" fontId="69" fillId="11" borderId="90" xfId="0" applyFont="1" applyFill="1" applyBorder="1" applyAlignment="1" applyProtection="1">
      <alignment horizontal="center" vertical="center" wrapText="1"/>
      <protection hidden="1"/>
    </xf>
    <xf numFmtId="49" fontId="8" fillId="11" borderId="90" xfId="0" applyNumberFormat="1" applyFont="1" applyFill="1" applyBorder="1" applyAlignment="1" applyProtection="1">
      <alignment vertical="top"/>
      <protection hidden="1"/>
    </xf>
    <xf numFmtId="49" fontId="8" fillId="11" borderId="90" xfId="0" applyNumberFormat="1" applyFont="1" applyFill="1" applyBorder="1" applyProtection="1">
      <alignment vertical="center"/>
      <protection hidden="1"/>
    </xf>
    <xf numFmtId="41" fontId="8" fillId="11" borderId="0" xfId="9" applyFont="1" applyFill="1" applyBorder="1" applyAlignment="1" applyProtection="1">
      <alignment horizontal="center" vertical="center"/>
      <protection hidden="1"/>
    </xf>
    <xf numFmtId="188" fontId="8" fillId="11" borderId="90" xfId="9" applyNumberFormat="1" applyFont="1" applyFill="1" applyBorder="1" applyAlignment="1" applyProtection="1">
      <alignment horizontal="right" vertical="center"/>
      <protection hidden="1"/>
    </xf>
    <xf numFmtId="9" fontId="0" fillId="11" borderId="0" xfId="0" applyNumberFormat="1" applyFill="1" applyProtection="1">
      <alignment vertical="center"/>
      <protection hidden="1"/>
    </xf>
    <xf numFmtId="188" fontId="8" fillId="11" borderId="0" xfId="6" applyNumberFormat="1" applyFont="1" applyFill="1" applyBorder="1" applyAlignment="1" applyProtection="1">
      <alignment vertical="center"/>
      <protection hidden="1"/>
    </xf>
    <xf numFmtId="186" fontId="8" fillId="11" borderId="0" xfId="9" applyNumberFormat="1" applyFont="1" applyFill="1" applyBorder="1" applyAlignment="1" applyProtection="1">
      <alignment vertical="center"/>
      <protection hidden="1"/>
    </xf>
    <xf numFmtId="189" fontId="8" fillId="11" borderId="0" xfId="9" applyNumberFormat="1" applyFont="1" applyFill="1" applyBorder="1" applyAlignment="1" applyProtection="1">
      <alignment vertical="center"/>
      <protection hidden="1"/>
    </xf>
    <xf numFmtId="0" fontId="8" fillId="11" borderId="201" xfId="3" applyFont="1" applyFill="1" applyBorder="1" applyAlignment="1" applyProtection="1">
      <alignment horizontal="left" vertical="center" shrinkToFit="1"/>
      <protection hidden="1"/>
    </xf>
    <xf numFmtId="0" fontId="71" fillId="11" borderId="0" xfId="0" applyFont="1" applyFill="1" applyAlignment="1" applyProtection="1">
      <protection hidden="1"/>
    </xf>
    <xf numFmtId="49" fontId="8" fillId="11" borderId="29" xfId="0" applyNumberFormat="1" applyFont="1" applyFill="1" applyBorder="1" applyProtection="1">
      <alignment vertical="center"/>
      <protection hidden="1"/>
    </xf>
    <xf numFmtId="0" fontId="8" fillId="11" borderId="30" xfId="3" applyFont="1" applyFill="1" applyBorder="1" applyAlignment="1" applyProtection="1">
      <alignment horizontal="left" vertical="center" shrinkToFit="1"/>
      <protection hidden="1"/>
    </xf>
    <xf numFmtId="41" fontId="8" fillId="11" borderId="197" xfId="9" applyFont="1" applyFill="1" applyBorder="1" applyAlignment="1" applyProtection="1">
      <alignment horizontal="center" vertical="center"/>
      <protection hidden="1"/>
    </xf>
    <xf numFmtId="49" fontId="69" fillId="11" borderId="90" xfId="0" applyNumberFormat="1" applyFont="1" applyFill="1" applyBorder="1" applyAlignment="1" applyProtection="1">
      <alignment horizontal="center" vertical="center" wrapText="1"/>
      <protection hidden="1"/>
    </xf>
    <xf numFmtId="0" fontId="11" fillId="11" borderId="90" xfId="0" applyFont="1" applyFill="1" applyBorder="1" applyProtection="1">
      <alignment vertical="center"/>
      <protection hidden="1"/>
    </xf>
    <xf numFmtId="0" fontId="69" fillId="11" borderId="29" xfId="0" applyFont="1" applyFill="1" applyBorder="1" applyAlignment="1" applyProtection="1">
      <alignment horizontal="center" vertical="center" wrapText="1"/>
      <protection hidden="1"/>
    </xf>
    <xf numFmtId="49" fontId="69" fillId="11" borderId="29" xfId="0" applyNumberFormat="1" applyFont="1" applyFill="1" applyBorder="1" applyAlignment="1" applyProtection="1">
      <alignment horizontal="center" vertical="center" wrapText="1"/>
      <protection hidden="1"/>
    </xf>
    <xf numFmtId="0" fontId="11" fillId="11" borderId="29" xfId="0" applyFont="1" applyFill="1" applyBorder="1" applyProtection="1">
      <alignment vertical="center"/>
      <protection hidden="1"/>
    </xf>
    <xf numFmtId="0" fontId="8" fillId="11" borderId="197" xfId="3" applyFont="1" applyFill="1" applyBorder="1" applyAlignment="1" applyProtection="1">
      <alignment horizontal="left" vertical="center" shrinkToFit="1"/>
      <protection hidden="1"/>
    </xf>
    <xf numFmtId="188" fontId="8" fillId="11" borderId="197" xfId="6" applyNumberFormat="1" applyFont="1" applyFill="1" applyBorder="1" applyAlignment="1" applyProtection="1">
      <alignment vertical="center"/>
      <protection hidden="1"/>
    </xf>
    <xf numFmtId="186" fontId="8" fillId="11" borderId="197" xfId="9" applyNumberFormat="1" applyFont="1" applyFill="1" applyBorder="1" applyAlignment="1" applyProtection="1">
      <alignment vertical="center"/>
      <protection hidden="1"/>
    </xf>
    <xf numFmtId="189" fontId="8" fillId="11" borderId="197" xfId="9" applyNumberFormat="1" applyFont="1" applyFill="1" applyBorder="1" applyAlignment="1" applyProtection="1">
      <alignment vertical="center"/>
      <protection hidden="1"/>
    </xf>
    <xf numFmtId="188" fontId="8" fillId="11" borderId="29" xfId="9" applyNumberFormat="1" applyFont="1" applyFill="1" applyBorder="1" applyAlignment="1" applyProtection="1">
      <alignment horizontal="right" vertical="center"/>
      <protection hidden="1"/>
    </xf>
    <xf numFmtId="41" fontId="14" fillId="11" borderId="36" xfId="0" applyNumberFormat="1" applyFont="1" applyFill="1" applyBorder="1" applyAlignment="1" applyProtection="1">
      <alignment horizontal="right" vertical="center" shrinkToFit="1"/>
      <protection hidden="1"/>
    </xf>
    <xf numFmtId="0" fontId="72" fillId="11" borderId="0" xfId="0" applyFont="1" applyFill="1" applyAlignment="1" applyProtection="1">
      <protection hidden="1"/>
    </xf>
    <xf numFmtId="0" fontId="71" fillId="11" borderId="0" xfId="0" applyFont="1" applyFill="1" applyProtection="1">
      <alignment vertical="center"/>
      <protection hidden="1"/>
    </xf>
    <xf numFmtId="49" fontId="11" fillId="11" borderId="0" xfId="0" applyNumberFormat="1" applyFont="1" applyFill="1" applyProtection="1">
      <alignment vertical="center"/>
      <protection hidden="1"/>
    </xf>
    <xf numFmtId="49" fontId="0" fillId="11" borderId="0" xfId="0" applyNumberFormat="1" applyFill="1" applyProtection="1">
      <alignment vertical="center"/>
      <protection hidden="1"/>
    </xf>
    <xf numFmtId="0" fontId="0" fillId="11" borderId="0" xfId="0" applyFill="1" applyAlignment="1" applyProtection="1">
      <alignment horizontal="center" vertical="center"/>
      <protection hidden="1"/>
    </xf>
    <xf numFmtId="0" fontId="73" fillId="11" borderId="0" xfId="0" applyFont="1" applyFill="1" applyAlignment="1"/>
    <xf numFmtId="0" fontId="69" fillId="11" borderId="198" xfId="0" applyFont="1" applyFill="1" applyBorder="1" applyAlignment="1" applyProtection="1">
      <alignment horizontal="center" vertical="center" wrapText="1"/>
      <protection hidden="1"/>
    </xf>
    <xf numFmtId="0" fontId="69" fillId="11" borderId="201" xfId="0" applyFont="1" applyFill="1" applyBorder="1" applyAlignment="1" applyProtection="1">
      <alignment horizontal="center" vertical="center" wrapText="1"/>
      <protection hidden="1"/>
    </xf>
    <xf numFmtId="41" fontId="11" fillId="11" borderId="0" xfId="0" applyNumberFormat="1" applyFont="1" applyFill="1" applyProtection="1">
      <alignment vertical="center"/>
      <protection hidden="1"/>
    </xf>
    <xf numFmtId="0" fontId="69" fillId="11" borderId="30" xfId="0" applyFont="1" applyFill="1" applyBorder="1" applyAlignment="1" applyProtection="1">
      <alignment horizontal="center" vertical="center" wrapText="1"/>
      <protection hidden="1"/>
    </xf>
    <xf numFmtId="0" fontId="69" fillId="11" borderId="197" xfId="0" applyFont="1" applyFill="1" applyBorder="1" applyAlignment="1" applyProtection="1">
      <alignment horizontal="center" vertical="center" wrapText="1"/>
      <protection hidden="1"/>
    </xf>
    <xf numFmtId="0" fontId="11" fillId="11" borderId="85" xfId="0" applyFont="1" applyFill="1" applyBorder="1" applyProtection="1">
      <alignment vertical="center"/>
      <protection hidden="1"/>
    </xf>
    <xf numFmtId="41" fontId="12" fillId="11" borderId="0" xfId="0" applyNumberFormat="1" applyFont="1" applyFill="1" applyProtection="1">
      <alignment vertical="center"/>
      <protection hidden="1"/>
    </xf>
    <xf numFmtId="0" fontId="12" fillId="11" borderId="0" xfId="0" applyFont="1" applyFill="1" applyProtection="1">
      <alignment vertical="center"/>
      <protection hidden="1"/>
    </xf>
    <xf numFmtId="41" fontId="11" fillId="11" borderId="0" xfId="1" applyFont="1" applyFill="1" applyBorder="1" applyProtection="1">
      <alignment vertical="center"/>
      <protection hidden="1"/>
    </xf>
    <xf numFmtId="0" fontId="69" fillId="11" borderId="85" xfId="0" applyFont="1" applyFill="1" applyBorder="1" applyAlignment="1" applyProtection="1">
      <alignment horizontal="center" vertical="center" wrapText="1"/>
      <protection hidden="1"/>
    </xf>
    <xf numFmtId="0" fontId="11" fillId="0" borderId="0" xfId="0" applyFont="1" applyProtection="1">
      <alignment vertical="center"/>
      <protection hidden="1"/>
    </xf>
    <xf numFmtId="0" fontId="0" fillId="0" borderId="0" xfId="0" applyAlignment="1" applyProtection="1">
      <alignment horizontal="center" vertical="center"/>
      <protection hidden="1"/>
    </xf>
    <xf numFmtId="0" fontId="0" fillId="0" borderId="34" xfId="0" applyBorder="1" applyProtection="1">
      <alignment vertical="center"/>
      <protection hidden="1"/>
    </xf>
    <xf numFmtId="0" fontId="0" fillId="0" borderId="0" xfId="0" applyProtection="1">
      <alignment vertical="center"/>
      <protection hidden="1"/>
    </xf>
    <xf numFmtId="0" fontId="3" fillId="3" borderId="34" xfId="0" applyFont="1" applyFill="1" applyBorder="1" applyAlignment="1">
      <alignment horizontal="left" vertical="center" wrapText="1"/>
    </xf>
    <xf numFmtId="0" fontId="39" fillId="11" borderId="0" xfId="0" applyFont="1" applyFill="1" applyAlignment="1" applyProtection="1">
      <alignment horizontal="center" vertical="center" wrapText="1"/>
      <protection locked="0"/>
    </xf>
    <xf numFmtId="0" fontId="78" fillId="11" borderId="0" xfId="0" applyFont="1" applyFill="1" applyAlignment="1">
      <alignment horizontal="center" vertical="center" wrapText="1"/>
    </xf>
    <xf numFmtId="41" fontId="40" fillId="11" borderId="0" xfId="0" applyNumberFormat="1" applyFont="1" applyFill="1" applyAlignment="1" applyProtection="1">
      <alignment horizontal="right" vertical="center" wrapText="1"/>
      <protection locked="0"/>
    </xf>
    <xf numFmtId="0" fontId="39" fillId="11" borderId="0" xfId="0" applyFont="1" applyFill="1" applyAlignment="1">
      <alignment horizontal="center" vertical="center" wrapText="1"/>
    </xf>
    <xf numFmtId="0" fontId="39" fillId="11" borderId="87" xfId="0" applyFont="1" applyFill="1" applyBorder="1" applyAlignment="1">
      <alignment horizontal="center" vertical="center" wrapText="1"/>
    </xf>
    <xf numFmtId="0" fontId="3" fillId="15" borderId="94" xfId="0" applyFont="1" applyFill="1" applyBorder="1" applyAlignment="1">
      <alignment horizontal="center" vertical="center" wrapText="1"/>
    </xf>
    <xf numFmtId="0" fontId="40" fillId="15" borderId="94" xfId="0" applyFont="1" applyFill="1" applyBorder="1" applyAlignment="1">
      <alignment horizontal="left" vertical="center" wrapText="1"/>
    </xf>
    <xf numFmtId="177" fontId="40" fillId="15" borderId="94" xfId="0" applyNumberFormat="1" applyFont="1" applyFill="1" applyBorder="1" applyAlignment="1">
      <alignment horizontal="right" vertical="center" wrapText="1"/>
    </xf>
    <xf numFmtId="0" fontId="79" fillId="0" borderId="0" xfId="0" applyFont="1" applyAlignment="1"/>
    <xf numFmtId="0" fontId="0" fillId="0" borderId="0" xfId="0" applyAlignment="1"/>
    <xf numFmtId="49" fontId="2" fillId="11" borderId="95" xfId="0" applyNumberFormat="1" applyFont="1" applyFill="1" applyBorder="1" applyAlignment="1">
      <alignment horizontal="center" vertical="center" wrapText="1"/>
    </xf>
    <xf numFmtId="0" fontId="2" fillId="11" borderId="95" xfId="0" applyFont="1" applyFill="1" applyBorder="1" applyAlignment="1">
      <alignment horizontal="center" vertical="center" wrapText="1"/>
    </xf>
    <xf numFmtId="0" fontId="2" fillId="0" borderId="95" xfId="0" applyFont="1" applyBorder="1" applyAlignment="1">
      <alignment horizontal="center" vertical="center" wrapText="1"/>
    </xf>
    <xf numFmtId="49" fontId="2" fillId="0" borderId="95" xfId="0" applyNumberFormat="1" applyFont="1" applyBorder="1" applyAlignment="1">
      <alignment horizontal="center" vertical="center" wrapText="1"/>
    </xf>
    <xf numFmtId="187" fontId="2" fillId="0" borderId="95" xfId="0" applyNumberFormat="1" applyFont="1" applyBorder="1" applyAlignment="1">
      <alignment horizontal="center" vertical="center" wrapText="1"/>
    </xf>
    <xf numFmtId="0" fontId="80" fillId="0" borderId="36" xfId="0" applyFont="1" applyBorder="1" applyAlignment="1">
      <alignment horizontal="center" vertical="center" wrapText="1"/>
    </xf>
    <xf numFmtId="177" fontId="80" fillId="0" borderId="36" xfId="0" applyNumberFormat="1" applyFont="1" applyBorder="1" applyAlignment="1">
      <alignment horizontal="center" vertical="center" wrapText="1"/>
    </xf>
    <xf numFmtId="49" fontId="3" fillId="8" borderId="95" xfId="0" applyNumberFormat="1" applyFont="1" applyFill="1" applyBorder="1" applyAlignment="1">
      <alignment horizontal="center" vertical="center" wrapText="1"/>
    </xf>
    <xf numFmtId="49" fontId="3" fillId="8" borderId="2" xfId="0" applyNumberFormat="1" applyFont="1" applyFill="1" applyBorder="1" applyAlignment="1">
      <alignment horizontal="right" vertical="center" wrapText="1"/>
    </xf>
    <xf numFmtId="49" fontId="37" fillId="0" borderId="36" xfId="0" applyNumberFormat="1" applyFont="1" applyBorder="1" applyAlignment="1">
      <alignment horizontal="center" vertical="center" wrapText="1"/>
    </xf>
    <xf numFmtId="0" fontId="37" fillId="0" borderId="36" xfId="0" applyFont="1" applyBorder="1" applyAlignment="1">
      <alignment horizontal="center" vertical="center" wrapText="1"/>
    </xf>
    <xf numFmtId="41" fontId="37" fillId="0" borderId="36" xfId="1" applyFont="1" applyBorder="1" applyAlignment="1">
      <alignment horizontal="center" vertical="center" wrapText="1"/>
    </xf>
    <xf numFmtId="0" fontId="3" fillId="0" borderId="2" xfId="0" applyFont="1" applyBorder="1" applyAlignment="1">
      <alignment horizontal="center" vertical="center" wrapText="1"/>
    </xf>
    <xf numFmtId="41" fontId="3" fillId="0" borderId="2" xfId="1" applyFont="1" applyFill="1" applyBorder="1" applyAlignment="1">
      <alignment horizontal="center" vertical="center" wrapText="1"/>
    </xf>
    <xf numFmtId="49" fontId="3" fillId="0" borderId="2" xfId="0" applyNumberFormat="1" applyFont="1" applyBorder="1" applyAlignment="1">
      <alignment horizontal="right" vertical="center" wrapText="1"/>
    </xf>
    <xf numFmtId="41" fontId="0" fillId="0" borderId="0" xfId="0" applyNumberFormat="1" applyAlignment="1"/>
    <xf numFmtId="49" fontId="81" fillId="11" borderId="0" xfId="0" applyNumberFormat="1" applyFont="1" applyFill="1">
      <alignment vertical="center"/>
    </xf>
    <xf numFmtId="0" fontId="81" fillId="11" borderId="0" xfId="0" applyFont="1" applyFill="1">
      <alignment vertical="center"/>
    </xf>
    <xf numFmtId="187" fontId="0" fillId="0" borderId="0" xfId="0" applyNumberFormat="1" applyAlignment="1">
      <alignment horizontal="center" vertical="center"/>
    </xf>
    <xf numFmtId="0" fontId="37" fillId="0" borderId="0" xfId="0" applyFont="1" applyAlignment="1">
      <alignment wrapText="1"/>
    </xf>
    <xf numFmtId="0" fontId="37" fillId="0" borderId="0" xfId="0" applyFont="1" applyAlignment="1">
      <alignment horizontal="center" vertical="center" wrapText="1"/>
    </xf>
    <xf numFmtId="0" fontId="37" fillId="0" borderId="0" xfId="0" applyFont="1" applyAlignment="1">
      <alignment vertical="center" wrapText="1"/>
    </xf>
    <xf numFmtId="177" fontId="37" fillId="0" borderId="0" xfId="0" applyNumberFormat="1" applyFont="1" applyAlignment="1">
      <alignment vertical="center" wrapText="1"/>
    </xf>
    <xf numFmtId="177" fontId="37" fillId="0" borderId="0" xfId="0" applyNumberFormat="1" applyFont="1" applyAlignment="1">
      <alignment wrapText="1"/>
    </xf>
    <xf numFmtId="0" fontId="3" fillId="14" borderId="95" xfId="0" applyFont="1" applyFill="1" applyBorder="1" applyAlignment="1">
      <alignment horizontal="center" vertical="center" wrapText="1"/>
    </xf>
    <xf numFmtId="177" fontId="45" fillId="15" borderId="2" xfId="0" applyNumberFormat="1" applyFont="1" applyFill="1" applyBorder="1" applyAlignment="1">
      <alignment horizontal="right" vertical="center" wrapText="1"/>
    </xf>
    <xf numFmtId="177" fontId="45" fillId="14" borderId="2" xfId="0" applyNumberFormat="1" applyFont="1" applyFill="1" applyBorder="1" applyAlignment="1">
      <alignment horizontal="right" vertical="center" wrapText="1"/>
    </xf>
    <xf numFmtId="41" fontId="3" fillId="3" borderId="36" xfId="1" applyFont="1" applyFill="1" applyBorder="1" applyAlignment="1">
      <alignment horizontal="center" vertical="center" wrapText="1"/>
    </xf>
    <xf numFmtId="41" fontId="0" fillId="0" borderId="85" xfId="1" applyFont="1" applyBorder="1">
      <alignment vertical="center"/>
    </xf>
    <xf numFmtId="41" fontId="8" fillId="11" borderId="41" xfId="1" applyFont="1" applyFill="1" applyBorder="1" applyAlignment="1" applyProtection="1">
      <alignment horizontal="center" vertical="center" shrinkToFit="1"/>
      <protection hidden="1"/>
    </xf>
    <xf numFmtId="41" fontId="8" fillId="11" borderId="199" xfId="9" applyFont="1" applyFill="1" applyBorder="1" applyAlignment="1" applyProtection="1">
      <alignment horizontal="center" vertical="center" wrapText="1"/>
      <protection hidden="1"/>
    </xf>
    <xf numFmtId="49" fontId="8" fillId="11" borderId="201" xfId="0" applyNumberFormat="1" applyFont="1" applyFill="1" applyBorder="1" applyProtection="1">
      <alignment vertical="center"/>
      <protection hidden="1"/>
    </xf>
    <xf numFmtId="49" fontId="8" fillId="11" borderId="30" xfId="0" applyNumberFormat="1" applyFont="1" applyFill="1" applyBorder="1" applyProtection="1">
      <alignment vertical="center"/>
      <protection hidden="1"/>
    </xf>
    <xf numFmtId="0" fontId="11" fillId="11" borderId="201" xfId="0" applyFont="1" applyFill="1" applyBorder="1" applyProtection="1">
      <alignment vertical="center"/>
      <protection hidden="1"/>
    </xf>
    <xf numFmtId="0" fontId="11" fillId="11" borderId="30" xfId="0" applyFont="1" applyFill="1" applyBorder="1" applyProtection="1">
      <alignment vertical="center"/>
      <protection hidden="1"/>
    </xf>
    <xf numFmtId="41" fontId="14" fillId="11" borderId="41" xfId="0" applyNumberFormat="1" applyFont="1" applyFill="1" applyBorder="1" applyAlignment="1" applyProtection="1">
      <alignment horizontal="right" vertical="center" shrinkToFit="1"/>
      <protection hidden="1"/>
    </xf>
    <xf numFmtId="0" fontId="53" fillId="11" borderId="0" xfId="0" applyFont="1" applyFill="1" applyAlignment="1" applyProtection="1">
      <alignment horizontal="center" vertical="center"/>
      <protection hidden="1"/>
    </xf>
    <xf numFmtId="0" fontId="8" fillId="11" borderId="0" xfId="3" applyFont="1" applyFill="1" applyAlignment="1" applyProtection="1">
      <alignment horizontal="left" vertical="center" shrinkToFit="1"/>
      <protection hidden="1"/>
    </xf>
    <xf numFmtId="0" fontId="0" fillId="11" borderId="197" xfId="0" applyFill="1" applyBorder="1" applyProtection="1">
      <alignment vertical="center"/>
      <protection hidden="1"/>
    </xf>
    <xf numFmtId="9" fontId="8" fillId="11" borderId="0" xfId="3" applyNumberFormat="1" applyFont="1" applyFill="1" applyAlignment="1" applyProtection="1">
      <alignment horizontal="left" vertical="center" shrinkToFit="1"/>
      <protection hidden="1"/>
    </xf>
    <xf numFmtId="41" fontId="8" fillId="11" borderId="0" xfId="1" applyFont="1" applyFill="1" applyBorder="1" applyAlignment="1" applyProtection="1">
      <alignment horizontal="left" vertical="center" shrinkToFit="1"/>
      <protection hidden="1"/>
    </xf>
    <xf numFmtId="0" fontId="8" fillId="11" borderId="0" xfId="1" applyNumberFormat="1" applyFont="1" applyFill="1" applyBorder="1" applyAlignment="1" applyProtection="1">
      <alignment horizontal="left" vertical="center" shrinkToFit="1"/>
      <protection hidden="1"/>
    </xf>
    <xf numFmtId="186" fontId="8" fillId="11" borderId="0" xfId="1" applyNumberFormat="1" applyFont="1" applyFill="1" applyBorder="1" applyAlignment="1" applyProtection="1">
      <alignment vertical="center" shrinkToFit="1"/>
      <protection hidden="1"/>
    </xf>
    <xf numFmtId="189" fontId="8" fillId="11" borderId="0" xfId="1" applyNumberFormat="1" applyFont="1" applyFill="1" applyBorder="1" applyAlignment="1" applyProtection="1">
      <alignment vertical="center" shrinkToFit="1"/>
      <protection hidden="1"/>
    </xf>
    <xf numFmtId="0" fontId="8" fillId="11" borderId="0" xfId="1" applyNumberFormat="1" applyFont="1" applyFill="1" applyBorder="1" applyAlignment="1" applyProtection="1">
      <alignment vertical="center" shrinkToFit="1"/>
      <protection hidden="1"/>
    </xf>
    <xf numFmtId="9" fontId="8" fillId="11" borderId="0" xfId="2" applyFont="1" applyFill="1" applyBorder="1" applyAlignment="1" applyProtection="1">
      <alignment horizontal="left" vertical="center" shrinkToFit="1"/>
      <protection hidden="1"/>
    </xf>
    <xf numFmtId="9" fontId="8" fillId="11" borderId="197" xfId="2" applyFont="1" applyFill="1" applyBorder="1" applyAlignment="1" applyProtection="1">
      <alignment horizontal="left" vertical="center" shrinkToFit="1"/>
      <protection hidden="1"/>
    </xf>
    <xf numFmtId="0" fontId="71" fillId="11" borderId="197" xfId="0" applyFont="1" applyFill="1" applyBorder="1" applyAlignment="1" applyProtection="1">
      <protection hidden="1"/>
    </xf>
    <xf numFmtId="0" fontId="8" fillId="11" borderId="200" xfId="0" applyFont="1" applyFill="1" applyBorder="1" applyProtection="1">
      <alignment vertical="center"/>
      <protection hidden="1"/>
    </xf>
    <xf numFmtId="0" fontId="8" fillId="11" borderId="199" xfId="0" applyFont="1" applyFill="1" applyBorder="1" applyProtection="1">
      <alignment vertical="center"/>
      <protection hidden="1"/>
    </xf>
    <xf numFmtId="178" fontId="8" fillId="11" borderId="0" xfId="9" applyNumberFormat="1" applyFont="1" applyFill="1" applyBorder="1" applyAlignment="1" applyProtection="1">
      <alignment vertical="center"/>
      <protection hidden="1"/>
    </xf>
    <xf numFmtId="49" fontId="8" fillId="11" borderId="200" xfId="3" applyNumberFormat="1" applyFont="1" applyFill="1" applyBorder="1" applyAlignment="1" applyProtection="1">
      <alignment horizontal="left" vertical="center" shrinkToFit="1"/>
      <protection hidden="1"/>
    </xf>
    <xf numFmtId="0" fontId="11" fillId="11" borderId="42" xfId="0" applyFont="1" applyFill="1" applyBorder="1" applyAlignment="1" applyProtection="1">
      <alignment horizontal="center" vertical="center"/>
      <protection hidden="1"/>
    </xf>
    <xf numFmtId="41" fontId="8" fillId="11" borderId="85" xfId="9" applyFont="1" applyFill="1" applyBorder="1" applyAlignment="1" applyProtection="1">
      <alignment horizontal="center" vertical="center"/>
      <protection hidden="1"/>
    </xf>
    <xf numFmtId="41" fontId="8" fillId="11" borderId="28" xfId="9" applyFont="1" applyFill="1" applyBorder="1" applyAlignment="1" applyProtection="1">
      <alignment horizontal="center" vertical="center"/>
      <protection hidden="1"/>
    </xf>
    <xf numFmtId="41" fontId="12" fillId="4" borderId="0" xfId="0" applyNumberFormat="1" applyFont="1" applyFill="1" applyProtection="1">
      <alignment vertical="center"/>
      <protection hidden="1"/>
    </xf>
    <xf numFmtId="0" fontId="12" fillId="4" borderId="0" xfId="0" applyFont="1" applyFill="1" applyProtection="1">
      <alignment vertical="center"/>
      <protection hidden="1"/>
    </xf>
    <xf numFmtId="0" fontId="11" fillId="4" borderId="0" xfId="0" applyFont="1" applyFill="1" applyProtection="1">
      <alignment vertical="center"/>
      <protection hidden="1"/>
    </xf>
    <xf numFmtId="0" fontId="8" fillId="11" borderId="216" xfId="3" applyFont="1" applyFill="1" applyBorder="1" applyAlignment="1" applyProtection="1">
      <alignment horizontal="center" vertical="center" shrinkToFit="1"/>
      <protection hidden="1"/>
    </xf>
    <xf numFmtId="0" fontId="8" fillId="11" borderId="219" xfId="3" applyFont="1" applyFill="1" applyBorder="1" applyAlignment="1" applyProtection="1">
      <alignment horizontal="center" vertical="center" shrinkToFit="1"/>
      <protection hidden="1"/>
    </xf>
    <xf numFmtId="0" fontId="8" fillId="11" borderId="41" xfId="0" applyFont="1" applyFill="1" applyBorder="1" applyAlignment="1" applyProtection="1">
      <alignment horizontal="center" vertical="center" shrinkToFit="1"/>
      <protection hidden="1"/>
    </xf>
    <xf numFmtId="0" fontId="8" fillId="11" borderId="198" xfId="0" applyFont="1" applyFill="1" applyBorder="1" applyAlignment="1" applyProtection="1">
      <alignment horizontal="center" vertical="center" shrinkToFit="1"/>
      <protection hidden="1"/>
    </xf>
    <xf numFmtId="0" fontId="69" fillId="11" borderId="43" xfId="0" applyFont="1" applyFill="1" applyBorder="1" applyAlignment="1" applyProtection="1">
      <alignment horizontal="center" vertical="top" wrapText="1"/>
      <protection hidden="1"/>
    </xf>
    <xf numFmtId="0" fontId="69" fillId="11" borderId="90" xfId="0" applyFont="1" applyFill="1" applyBorder="1" applyAlignment="1" applyProtection="1">
      <alignment horizontal="center" vertical="top" wrapText="1"/>
      <protection hidden="1"/>
    </xf>
    <xf numFmtId="0" fontId="69" fillId="11" borderId="29" xfId="0" applyFont="1" applyFill="1" applyBorder="1" applyAlignment="1" applyProtection="1">
      <alignment horizontal="center" vertical="top" wrapText="1"/>
      <protection hidden="1"/>
    </xf>
    <xf numFmtId="0" fontId="8" fillId="11" borderId="198" xfId="3" applyFont="1" applyFill="1" applyBorder="1" applyAlignment="1" applyProtection="1">
      <alignment horizontal="left" vertical="center" shrinkToFit="1"/>
      <protection hidden="1"/>
    </xf>
    <xf numFmtId="0" fontId="8" fillId="11" borderId="216" xfId="3" applyFont="1" applyFill="1" applyBorder="1" applyAlignment="1" applyProtection="1">
      <alignment horizontal="left" vertical="center" shrinkToFit="1"/>
      <protection hidden="1"/>
    </xf>
    <xf numFmtId="0" fontId="8" fillId="11" borderId="217" xfId="3" applyFont="1" applyFill="1" applyBorder="1" applyAlignment="1" applyProtection="1">
      <alignment horizontal="left" vertical="center" shrinkToFit="1"/>
      <protection hidden="1"/>
    </xf>
    <xf numFmtId="0" fontId="8" fillId="11" borderId="219" xfId="3" applyFont="1" applyFill="1" applyBorder="1" applyAlignment="1" applyProtection="1">
      <alignment horizontal="left" vertical="center" shrinkToFit="1"/>
      <protection hidden="1"/>
    </xf>
    <xf numFmtId="0" fontId="8" fillId="11" borderId="220" xfId="3" applyFont="1" applyFill="1" applyBorder="1" applyAlignment="1" applyProtection="1">
      <alignment horizontal="left" vertical="center" shrinkToFit="1"/>
      <protection hidden="1"/>
    </xf>
    <xf numFmtId="0" fontId="69" fillId="11" borderId="0" xfId="0" applyFont="1" applyFill="1" applyAlignment="1" applyProtection="1">
      <alignment horizontal="center" vertical="center" wrapText="1"/>
      <protection hidden="1"/>
    </xf>
    <xf numFmtId="0" fontId="8" fillId="11" borderId="201" xfId="3" applyFont="1" applyFill="1" applyBorder="1" applyAlignment="1" applyProtection="1">
      <alignment vertical="center" shrinkToFit="1"/>
      <protection hidden="1"/>
    </xf>
    <xf numFmtId="0" fontId="8" fillId="11" borderId="0" xfId="3" applyFont="1" applyFill="1" applyAlignment="1" applyProtection="1">
      <alignment vertical="center" shrinkToFit="1"/>
      <protection hidden="1"/>
    </xf>
    <xf numFmtId="41" fontId="47" fillId="11" borderId="198" xfId="0" applyNumberFormat="1" applyFont="1" applyFill="1" applyBorder="1" applyAlignment="1" applyProtection="1">
      <alignment horizontal="right" vertical="center" shrinkToFit="1"/>
      <protection hidden="1"/>
    </xf>
    <xf numFmtId="188" fontId="47" fillId="11" borderId="36" xfId="0" applyNumberFormat="1" applyFont="1" applyFill="1" applyBorder="1" applyAlignment="1" applyProtection="1">
      <alignment vertical="center" shrinkToFit="1"/>
      <protection hidden="1"/>
    </xf>
    <xf numFmtId="0" fontId="83" fillId="0" borderId="0" xfId="0" applyFont="1">
      <alignment vertical="center"/>
    </xf>
    <xf numFmtId="0" fontId="82" fillId="13" borderId="198" xfId="0" applyFont="1" applyFill="1" applyBorder="1" applyAlignment="1" applyProtection="1">
      <alignment horizontal="center" vertical="center" wrapText="1"/>
      <protection hidden="1"/>
    </xf>
    <xf numFmtId="41" fontId="47" fillId="13" borderId="198" xfId="0" applyNumberFormat="1" applyFont="1" applyFill="1" applyBorder="1" applyAlignment="1" applyProtection="1">
      <alignment horizontal="right" vertical="center" shrinkToFit="1"/>
      <protection hidden="1"/>
    </xf>
    <xf numFmtId="0" fontId="46" fillId="13" borderId="198" xfId="0" applyFont="1" applyFill="1" applyBorder="1" applyAlignment="1" applyProtection="1">
      <alignment horizontal="center" vertical="center" shrinkToFit="1"/>
      <protection hidden="1"/>
    </xf>
    <xf numFmtId="188" fontId="47" fillId="13" borderId="36" xfId="0" applyNumberFormat="1" applyFont="1" applyFill="1" applyBorder="1" applyAlignment="1" applyProtection="1">
      <alignment vertical="center" shrinkToFit="1"/>
      <protection hidden="1"/>
    </xf>
    <xf numFmtId="0" fontId="7" fillId="11" borderId="90" xfId="0" applyFont="1" applyFill="1" applyBorder="1" applyAlignment="1" applyProtection="1">
      <alignment horizontal="center" vertical="center" wrapText="1"/>
      <protection hidden="1"/>
    </xf>
    <xf numFmtId="0" fontId="26" fillId="0" borderId="0" xfId="0" applyFont="1">
      <alignment vertical="center"/>
    </xf>
    <xf numFmtId="0" fontId="6" fillId="11" borderId="41" xfId="0" applyFont="1" applyFill="1" applyBorder="1" applyAlignment="1" applyProtection="1">
      <alignment horizontal="center" vertical="center" wrapText="1"/>
      <protection hidden="1"/>
    </xf>
    <xf numFmtId="0" fontId="84" fillId="11" borderId="41" xfId="0" applyFont="1" applyFill="1" applyBorder="1" applyAlignment="1" applyProtection="1">
      <alignment horizontal="center" vertical="center" wrapText="1"/>
      <protection hidden="1"/>
    </xf>
    <xf numFmtId="0" fontId="84" fillId="11" borderId="198" xfId="0" applyFont="1" applyFill="1" applyBorder="1" applyAlignment="1" applyProtection="1">
      <alignment horizontal="center" vertical="center" wrapText="1"/>
      <protection hidden="1"/>
    </xf>
    <xf numFmtId="0" fontId="47" fillId="11" borderId="198" xfId="0" applyFont="1" applyFill="1" applyBorder="1" applyAlignment="1" applyProtection="1">
      <alignment horizontal="center" vertical="center" shrinkToFit="1"/>
      <protection hidden="1"/>
    </xf>
    <xf numFmtId="0" fontId="6" fillId="13" borderId="36" xfId="0" applyFont="1" applyFill="1" applyBorder="1" applyAlignment="1" applyProtection="1">
      <alignment horizontal="center" vertical="center" wrapText="1"/>
      <protection hidden="1"/>
    </xf>
    <xf numFmtId="0" fontId="6" fillId="13" borderId="41" xfId="0" applyFont="1" applyFill="1" applyBorder="1" applyAlignment="1" applyProtection="1">
      <alignment horizontal="center" vertical="center" wrapText="1"/>
      <protection hidden="1"/>
    </xf>
    <xf numFmtId="0" fontId="84" fillId="13" borderId="41" xfId="0" applyFont="1" applyFill="1" applyBorder="1" applyAlignment="1" applyProtection="1">
      <alignment horizontal="center" vertical="center" wrapText="1"/>
      <protection hidden="1"/>
    </xf>
    <xf numFmtId="0" fontId="84" fillId="13" borderId="198" xfId="0" applyFont="1" applyFill="1" applyBorder="1" applyAlignment="1" applyProtection="1">
      <alignment horizontal="center" vertical="center" wrapText="1"/>
      <protection hidden="1"/>
    </xf>
    <xf numFmtId="0" fontId="47" fillId="13" borderId="198" xfId="0" applyFont="1" applyFill="1" applyBorder="1" applyAlignment="1" applyProtection="1">
      <alignment horizontal="center" vertical="center" shrinkToFit="1"/>
      <protection hidden="1"/>
    </xf>
    <xf numFmtId="0" fontId="6" fillId="11" borderId="30" xfId="0" applyFont="1" applyFill="1" applyBorder="1" applyAlignment="1" applyProtection="1">
      <alignment horizontal="center" vertical="center" wrapText="1"/>
      <protection hidden="1"/>
    </xf>
    <xf numFmtId="0" fontId="85" fillId="13" borderId="36" xfId="0" applyFont="1" applyFill="1" applyBorder="1" applyAlignment="1" applyProtection="1">
      <alignment horizontal="center" vertical="center" wrapText="1"/>
      <protection hidden="1"/>
    </xf>
    <xf numFmtId="0" fontId="85" fillId="13" borderId="41" xfId="0" applyFont="1" applyFill="1" applyBorder="1" applyAlignment="1" applyProtection="1">
      <alignment horizontal="center" vertical="center" wrapText="1"/>
      <protection hidden="1"/>
    </xf>
    <xf numFmtId="0" fontId="6" fillId="11" borderId="199" xfId="0" applyFont="1" applyFill="1" applyBorder="1" applyAlignment="1" applyProtection="1">
      <alignment horizontal="center" vertical="center" wrapText="1"/>
      <protection hidden="1"/>
    </xf>
    <xf numFmtId="0" fontId="7" fillId="13" borderId="199" xfId="0" applyFont="1" applyFill="1" applyBorder="1" applyAlignment="1" applyProtection="1">
      <alignment horizontal="center" vertical="center" wrapText="1"/>
      <protection hidden="1"/>
    </xf>
    <xf numFmtId="0" fontId="85" fillId="13" borderId="43" xfId="0" applyFont="1" applyFill="1" applyBorder="1" applyAlignment="1" applyProtection="1">
      <alignment horizontal="center" vertical="center" wrapText="1"/>
      <protection hidden="1"/>
    </xf>
    <xf numFmtId="0" fontId="6" fillId="11" borderId="90" xfId="0" applyFont="1" applyFill="1" applyBorder="1" applyAlignment="1" applyProtection="1">
      <alignment horizontal="center" vertical="center" wrapText="1"/>
      <protection hidden="1"/>
    </xf>
    <xf numFmtId="0" fontId="6" fillId="11" borderId="200" xfId="0" applyFont="1" applyFill="1" applyBorder="1" applyAlignment="1" applyProtection="1">
      <alignment horizontal="center" vertical="center" wrapText="1"/>
      <protection hidden="1"/>
    </xf>
    <xf numFmtId="0" fontId="47" fillId="11" borderId="200" xfId="3" applyFont="1" applyFill="1" applyBorder="1" applyAlignment="1" applyProtection="1">
      <alignment horizontal="left" vertical="center" shrinkToFit="1"/>
      <protection hidden="1"/>
    </xf>
    <xf numFmtId="188" fontId="47" fillId="13" borderId="36" xfId="0" applyNumberFormat="1" applyFont="1" applyFill="1" applyBorder="1" applyAlignment="1" applyProtection="1">
      <alignment horizontal="right" vertical="center" shrinkToFit="1"/>
      <protection hidden="1"/>
    </xf>
    <xf numFmtId="190" fontId="8" fillId="11" borderId="198" xfId="0" applyNumberFormat="1" applyFont="1" applyFill="1" applyBorder="1" applyAlignment="1" applyProtection="1">
      <alignment vertical="center" shrinkToFit="1"/>
      <protection hidden="1"/>
    </xf>
    <xf numFmtId="0" fontId="8" fillId="11" borderId="198" xfId="0" applyFont="1" applyFill="1" applyBorder="1" applyAlignment="1" applyProtection="1">
      <alignment vertical="center" shrinkToFit="1"/>
      <protection hidden="1"/>
    </xf>
    <xf numFmtId="188" fontId="8" fillId="11" borderId="198" xfId="6" applyNumberFormat="1" applyFont="1" applyFill="1" applyBorder="1" applyAlignment="1" applyProtection="1">
      <alignment horizontal="center" vertical="center" shrinkToFit="1"/>
      <protection hidden="1"/>
    </xf>
    <xf numFmtId="41" fontId="14" fillId="11" borderId="36" xfId="0" applyNumberFormat="1" applyFont="1" applyFill="1" applyBorder="1" applyAlignment="1" applyProtection="1">
      <alignment vertical="center" shrinkToFit="1"/>
      <protection hidden="1"/>
    </xf>
    <xf numFmtId="0" fontId="15" fillId="0" borderId="27" xfId="3" applyFont="1" applyBorder="1" applyAlignment="1" applyProtection="1">
      <alignment horizontal="left" vertical="center" shrinkToFit="1"/>
      <protection hidden="1"/>
    </xf>
    <xf numFmtId="0" fontId="15" fillId="0" borderId="34" xfId="3" applyFont="1" applyBorder="1" applyAlignment="1" applyProtection="1">
      <alignment horizontal="left" vertical="center" shrinkToFit="1"/>
      <protection hidden="1"/>
    </xf>
    <xf numFmtId="0" fontId="42" fillId="0" borderId="223" xfId="0" applyFont="1" applyBorder="1" applyAlignment="1">
      <alignment horizontal="center" vertical="center" wrapText="1"/>
    </xf>
    <xf numFmtId="0" fontId="42" fillId="0" borderId="224" xfId="0" applyFont="1" applyBorder="1" applyAlignment="1">
      <alignment horizontal="center" vertical="center" wrapText="1"/>
    </xf>
    <xf numFmtId="0" fontId="43" fillId="4" borderId="105" xfId="0" applyFont="1" applyFill="1" applyBorder="1" applyAlignment="1">
      <alignment horizontal="left" vertical="center" shrinkToFit="1"/>
    </xf>
    <xf numFmtId="177" fontId="43" fillId="4" borderId="106" xfId="0" applyNumberFormat="1" applyFont="1" applyFill="1" applyBorder="1" applyAlignment="1">
      <alignment horizontal="right" vertical="center" wrapText="1"/>
    </xf>
    <xf numFmtId="0" fontId="44" fillId="11" borderId="54" xfId="0" applyFont="1" applyFill="1" applyBorder="1" applyAlignment="1">
      <alignment horizontal="center" vertical="center"/>
    </xf>
    <xf numFmtId="177" fontId="47" fillId="11" borderId="58" xfId="4" applyNumberFormat="1" applyFont="1" applyFill="1" applyBorder="1" applyAlignment="1" applyProtection="1">
      <alignment horizontal="right" vertical="center"/>
      <protection hidden="1"/>
    </xf>
    <xf numFmtId="177" fontId="46" fillId="11" borderId="59" xfId="4" applyNumberFormat="1" applyFont="1" applyFill="1" applyBorder="1" applyAlignment="1" applyProtection="1">
      <alignment horizontal="right" vertical="center" wrapText="1"/>
      <protection hidden="1"/>
    </xf>
    <xf numFmtId="0" fontId="84" fillId="11" borderId="36" xfId="0" applyFont="1" applyFill="1" applyBorder="1" applyAlignment="1" applyProtection="1">
      <alignment horizontal="center" vertical="center" wrapText="1"/>
      <protection hidden="1"/>
    </xf>
    <xf numFmtId="0" fontId="84" fillId="11" borderId="30" xfId="0" applyFont="1" applyFill="1" applyBorder="1" applyAlignment="1" applyProtection="1">
      <alignment horizontal="center" vertical="center" wrapText="1"/>
      <protection hidden="1"/>
    </xf>
    <xf numFmtId="0" fontId="7" fillId="13" borderId="198" xfId="0" applyFont="1" applyFill="1" applyBorder="1" applyAlignment="1" applyProtection="1">
      <alignment horizontal="center" vertical="center" wrapText="1"/>
      <protection hidden="1"/>
    </xf>
    <xf numFmtId="0" fontId="7" fillId="13" borderId="41" xfId="0" applyFont="1" applyFill="1" applyBorder="1" applyAlignment="1" applyProtection="1">
      <alignment horizontal="center" vertical="center" wrapText="1"/>
      <protection hidden="1"/>
    </xf>
    <xf numFmtId="0" fontId="0" fillId="11" borderId="0" xfId="0" applyFill="1" applyAlignment="1">
      <alignment horizontal="center" vertical="center"/>
    </xf>
    <xf numFmtId="0" fontId="45" fillId="11" borderId="0" xfId="0" applyFont="1" applyFill="1" applyAlignment="1">
      <alignment horizontal="left" vertical="center" wrapText="1"/>
    </xf>
    <xf numFmtId="0" fontId="25" fillId="9" borderId="48" xfId="0" applyFont="1" applyFill="1" applyBorder="1" applyAlignment="1" applyProtection="1">
      <alignment horizontal="center" vertical="center"/>
      <protection hidden="1"/>
    </xf>
    <xf numFmtId="0" fontId="15" fillId="0" borderId="54" xfId="3" applyFont="1" applyBorder="1" applyAlignment="1" applyProtection="1">
      <alignment horizontal="left" vertical="center" shrinkToFit="1"/>
      <protection hidden="1"/>
    </xf>
    <xf numFmtId="0" fontId="15" fillId="0" borderId="57" xfId="3" applyFont="1" applyBorder="1" applyAlignment="1" applyProtection="1">
      <alignment horizontal="left" vertical="center" shrinkToFit="1"/>
      <protection hidden="1"/>
    </xf>
    <xf numFmtId="0" fontId="24" fillId="0" borderId="54" xfId="0" applyFont="1" applyBorder="1" applyAlignment="1" applyProtection="1">
      <alignment horizontal="center" vertical="center"/>
      <protection hidden="1"/>
    </xf>
    <xf numFmtId="0" fontId="24" fillId="0" borderId="56" xfId="0" applyFont="1" applyBorder="1" applyAlignment="1" applyProtection="1">
      <alignment horizontal="center" vertical="center"/>
      <protection hidden="1"/>
    </xf>
    <xf numFmtId="0" fontId="26" fillId="6" borderId="48" xfId="0" applyFont="1" applyFill="1" applyBorder="1" applyAlignment="1" applyProtection="1">
      <alignment horizontal="center" vertical="center"/>
      <protection hidden="1"/>
    </xf>
    <xf numFmtId="0" fontId="2" fillId="0" borderId="2" xfId="0" applyFont="1" applyBorder="1" applyAlignment="1" applyProtection="1">
      <alignment horizontal="center" vertical="center" wrapText="1"/>
      <protection hidden="1"/>
    </xf>
    <xf numFmtId="0" fontId="24" fillId="0" borderId="44" xfId="0" applyFont="1" applyBorder="1" applyAlignment="1" applyProtection="1">
      <alignment horizontal="center" vertical="center"/>
      <protection hidden="1"/>
    </xf>
    <xf numFmtId="0" fontId="24" fillId="0" borderId="43" xfId="0" applyFont="1" applyBorder="1" applyAlignment="1" applyProtection="1">
      <alignment horizontal="center" vertical="center"/>
      <protection hidden="1"/>
    </xf>
    <xf numFmtId="0" fontId="3" fillId="3" borderId="2"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left" vertical="center" wrapText="1"/>
      <protection hidden="1"/>
    </xf>
    <xf numFmtId="41" fontId="69" fillId="3" borderId="2" xfId="1" applyFont="1" applyFill="1" applyBorder="1" applyAlignment="1" applyProtection="1">
      <alignment horizontal="center" vertical="center" shrinkToFit="1"/>
      <protection hidden="1"/>
    </xf>
    <xf numFmtId="41" fontId="69" fillId="9" borderId="2" xfId="1" applyFont="1" applyFill="1" applyBorder="1" applyAlignment="1" applyProtection="1">
      <alignment horizontal="center" vertical="center" shrinkToFit="1"/>
      <protection hidden="1"/>
    </xf>
    <xf numFmtId="176" fontId="13" fillId="0" borderId="25" xfId="1" applyNumberFormat="1" applyFont="1" applyBorder="1" applyAlignment="1" applyProtection="1">
      <alignment horizontal="center" vertical="center"/>
      <protection hidden="1"/>
    </xf>
    <xf numFmtId="0" fontId="8" fillId="0" borderId="54" xfId="0" applyFont="1" applyBorder="1" applyProtection="1">
      <alignment vertical="center"/>
      <protection hidden="1"/>
    </xf>
    <xf numFmtId="0" fontId="8" fillId="0" borderId="55" xfId="0" applyFont="1" applyBorder="1" applyAlignment="1" applyProtection="1">
      <alignment horizontal="center" vertical="center"/>
      <protection hidden="1"/>
    </xf>
    <xf numFmtId="176" fontId="8" fillId="0" borderId="36" xfId="0" applyNumberFormat="1" applyFont="1" applyBorder="1" applyAlignment="1" applyProtection="1">
      <alignment horizontal="center" vertical="center"/>
      <protection hidden="1"/>
    </xf>
    <xf numFmtId="0" fontId="0" fillId="18" borderId="27" xfId="0" applyFill="1" applyBorder="1" applyAlignment="1" applyProtection="1">
      <alignment horizontal="center" vertical="center"/>
      <protection hidden="1"/>
    </xf>
    <xf numFmtId="0" fontId="0" fillId="18" borderId="29" xfId="0" applyFill="1" applyBorder="1" applyAlignment="1" applyProtection="1">
      <alignment horizontal="center" vertical="center"/>
      <protection hidden="1"/>
    </xf>
    <xf numFmtId="0" fontId="0" fillId="18" borderId="59" xfId="0" applyFill="1" applyBorder="1" applyAlignment="1" applyProtection="1">
      <alignment horizontal="center" vertical="center"/>
      <protection hidden="1"/>
    </xf>
    <xf numFmtId="176" fontId="13" fillId="0" borderId="32" xfId="1" applyNumberFormat="1" applyFont="1" applyBorder="1" applyAlignment="1" applyProtection="1">
      <alignment horizontal="center" vertical="center"/>
      <protection hidden="1"/>
    </xf>
    <xf numFmtId="0" fontId="8" fillId="0" borderId="34" xfId="0" applyFont="1" applyBorder="1" applyProtection="1">
      <alignment vertical="center"/>
      <protection hidden="1"/>
    </xf>
    <xf numFmtId="0" fontId="8" fillId="0" borderId="35" xfId="0" applyFont="1" applyBorder="1" applyAlignment="1" applyProtection="1">
      <alignment horizontal="center" vertical="center"/>
      <protection hidden="1"/>
    </xf>
    <xf numFmtId="176" fontId="8" fillId="0" borderId="37" xfId="0" applyNumberFormat="1" applyFont="1" applyBorder="1" applyAlignment="1" applyProtection="1">
      <alignment horizontal="center" vertical="center"/>
      <protection hidden="1"/>
    </xf>
    <xf numFmtId="176" fontId="8" fillId="0" borderId="39" xfId="0" applyNumberFormat="1" applyFont="1" applyBorder="1" applyAlignment="1" applyProtection="1">
      <alignment horizontal="center" vertical="center"/>
      <protection hidden="1"/>
    </xf>
    <xf numFmtId="0" fontId="8" fillId="0" borderId="54" xfId="0" applyFont="1" applyBorder="1" applyAlignment="1" applyProtection="1">
      <alignment vertical="center" shrinkToFit="1"/>
      <protection hidden="1"/>
    </xf>
    <xf numFmtId="0" fontId="8" fillId="0" borderId="34" xfId="0" applyFont="1" applyBorder="1" applyAlignment="1" applyProtection="1">
      <alignment vertical="center" shrinkToFit="1"/>
      <protection hidden="1"/>
    </xf>
    <xf numFmtId="0" fontId="25" fillId="16" borderId="48" xfId="0" applyFont="1" applyFill="1" applyBorder="1" applyAlignment="1" applyProtection="1">
      <alignment horizontal="center" vertical="center"/>
      <protection hidden="1"/>
    </xf>
    <xf numFmtId="49" fontId="41" fillId="12" borderId="48" xfId="0" applyNumberFormat="1" applyFont="1" applyFill="1" applyBorder="1" applyAlignment="1" applyProtection="1">
      <alignment horizontal="center" vertical="center"/>
      <protection hidden="1"/>
    </xf>
    <xf numFmtId="0" fontId="24" fillId="0" borderId="34" xfId="0" applyFont="1" applyBorder="1" applyProtection="1">
      <alignment vertical="center"/>
      <protection hidden="1"/>
    </xf>
    <xf numFmtId="0" fontId="25" fillId="10" borderId="26" xfId="0" applyFont="1" applyFill="1" applyBorder="1" applyAlignment="1" applyProtection="1">
      <alignment horizontal="center" vertical="center"/>
      <protection hidden="1"/>
    </xf>
    <xf numFmtId="0" fontId="8" fillId="0" borderId="57" xfId="0" applyFont="1" applyBorder="1" applyAlignment="1" applyProtection="1">
      <alignment vertical="center" shrinkToFit="1"/>
      <protection hidden="1"/>
    </xf>
    <xf numFmtId="0" fontId="8" fillId="0" borderId="27" xfId="0" applyFont="1" applyBorder="1" applyAlignment="1" applyProtection="1">
      <alignment vertical="center" shrinkToFit="1"/>
      <protection hidden="1"/>
    </xf>
    <xf numFmtId="0" fontId="24" fillId="0" borderId="36" xfId="0" applyFont="1" applyBorder="1" applyAlignment="1" applyProtection="1">
      <alignment horizontal="center" vertical="center"/>
      <protection hidden="1"/>
    </xf>
    <xf numFmtId="0" fontId="8" fillId="0" borderId="44" xfId="0" applyFont="1" applyBorder="1" applyAlignment="1" applyProtection="1">
      <alignment vertical="center" shrinkToFit="1"/>
      <protection hidden="1"/>
    </xf>
    <xf numFmtId="0" fontId="8" fillId="0" borderId="54" xfId="0" applyFont="1" applyBorder="1" applyAlignment="1" applyProtection="1">
      <alignment horizontal="left" vertical="center" shrinkToFit="1"/>
      <protection hidden="1"/>
    </xf>
    <xf numFmtId="0" fontId="13" fillId="0" borderId="34" xfId="0" applyFont="1" applyBorder="1" applyAlignment="1" applyProtection="1">
      <alignment horizontal="left" vertical="center"/>
      <protection hidden="1"/>
    </xf>
    <xf numFmtId="0" fontId="13" fillId="0" borderId="57" xfId="0" applyFont="1" applyBorder="1" applyAlignment="1" applyProtection="1">
      <alignment horizontal="left" vertical="center"/>
      <protection hidden="1"/>
    </xf>
    <xf numFmtId="0" fontId="27" fillId="11" borderId="88" xfId="0" applyFont="1" applyFill="1" applyBorder="1" applyAlignment="1" applyProtection="1">
      <alignment horizontal="center" vertical="center"/>
      <protection hidden="1"/>
    </xf>
    <xf numFmtId="0" fontId="23" fillId="0" borderId="35" xfId="0" applyFont="1" applyBorder="1" applyAlignment="1" applyProtection="1">
      <alignment horizontal="center" vertical="center"/>
      <protection hidden="1"/>
    </xf>
    <xf numFmtId="0" fontId="27" fillId="11" borderId="84" xfId="0" applyFont="1" applyFill="1" applyBorder="1" applyAlignment="1" applyProtection="1">
      <alignment horizontal="center" vertical="center"/>
      <protection hidden="1"/>
    </xf>
    <xf numFmtId="0" fontId="8" fillId="0" borderId="79" xfId="0" applyFont="1" applyBorder="1" applyAlignment="1" applyProtection="1">
      <alignment vertical="center" shrinkToFit="1"/>
      <protection hidden="1"/>
    </xf>
    <xf numFmtId="0" fontId="8" fillId="0" borderId="84" xfId="0" applyFont="1" applyBorder="1" applyAlignment="1" applyProtection="1">
      <alignment vertical="center" shrinkToFit="1"/>
      <protection hidden="1"/>
    </xf>
    <xf numFmtId="0" fontId="8" fillId="0" borderId="83" xfId="0" applyFont="1" applyBorder="1" applyAlignment="1" applyProtection="1">
      <alignment vertical="center" shrinkToFit="1"/>
      <protection hidden="1"/>
    </xf>
    <xf numFmtId="0" fontId="30" fillId="0" borderId="48" xfId="0" applyFont="1" applyBorder="1" applyAlignment="1" applyProtection="1">
      <alignment horizontal="center" vertical="center" shrinkToFit="1"/>
      <protection hidden="1"/>
    </xf>
    <xf numFmtId="0" fontId="30" fillId="0" borderId="52" xfId="0" applyFont="1" applyBorder="1" applyAlignment="1" applyProtection="1">
      <alignment horizontal="center" vertical="center" shrinkToFit="1"/>
      <protection hidden="1"/>
    </xf>
    <xf numFmtId="0" fontId="27" fillId="11" borderId="83" xfId="0" applyFont="1" applyFill="1" applyBorder="1" applyAlignment="1" applyProtection="1">
      <alignment horizontal="center" vertical="center"/>
      <protection hidden="1"/>
    </xf>
    <xf numFmtId="0" fontId="24" fillId="0" borderId="27" xfId="0" applyFont="1" applyBorder="1" applyAlignment="1" applyProtection="1">
      <alignment horizontal="left" vertical="center" shrinkToFit="1"/>
      <protection hidden="1"/>
    </xf>
    <xf numFmtId="0" fontId="25" fillId="0" borderId="17" xfId="0" applyFont="1" applyBorder="1" applyProtection="1">
      <alignment vertical="center"/>
      <protection hidden="1"/>
    </xf>
    <xf numFmtId="41" fontId="25" fillId="0" borderId="19" xfId="0" applyNumberFormat="1" applyFont="1" applyBorder="1" applyAlignment="1" applyProtection="1">
      <alignment horizontal="center" vertical="center"/>
      <protection hidden="1"/>
    </xf>
    <xf numFmtId="0" fontId="24" fillId="0" borderId="34" xfId="0" applyFont="1" applyBorder="1" applyAlignment="1" applyProtection="1">
      <alignment horizontal="left" vertical="center" shrinkToFit="1"/>
      <protection hidden="1"/>
    </xf>
    <xf numFmtId="0" fontId="8" fillId="0" borderId="42" xfId="0" applyFont="1" applyBorder="1" applyAlignment="1" applyProtection="1">
      <alignment horizontal="center" vertical="center"/>
      <protection hidden="1"/>
    </xf>
    <xf numFmtId="0" fontId="25" fillId="0" borderId="48" xfId="0" applyFont="1" applyBorder="1" applyProtection="1">
      <alignment vertical="center"/>
      <protection hidden="1"/>
    </xf>
    <xf numFmtId="0" fontId="8" fillId="0" borderId="44" xfId="0" applyFont="1" applyBorder="1" applyProtection="1">
      <alignment vertical="center"/>
      <protection hidden="1"/>
    </xf>
    <xf numFmtId="176" fontId="8" fillId="0" borderId="30" xfId="0" applyNumberFormat="1" applyFont="1" applyBorder="1" applyAlignment="1" applyProtection="1">
      <alignment horizontal="center" vertical="center"/>
      <protection hidden="1"/>
    </xf>
    <xf numFmtId="0" fontId="3" fillId="2" borderId="2"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left" vertical="center" wrapText="1"/>
      <protection hidden="1"/>
    </xf>
    <xf numFmtId="41" fontId="69" fillId="2" borderId="2" xfId="1" applyFont="1" applyFill="1" applyBorder="1" applyAlignment="1" applyProtection="1">
      <alignment horizontal="center" vertical="center" shrinkToFit="1"/>
      <protection hidden="1"/>
    </xf>
    <xf numFmtId="41" fontId="69" fillId="16" borderId="2" xfId="1" applyFont="1" applyFill="1" applyBorder="1" applyAlignment="1" applyProtection="1">
      <alignment horizontal="center" vertical="center" shrinkToFit="1"/>
      <protection hidden="1"/>
    </xf>
    <xf numFmtId="188" fontId="13" fillId="0" borderId="32" xfId="1" applyNumberFormat="1" applyFont="1" applyBorder="1" applyAlignment="1" applyProtection="1">
      <alignment horizontal="center" vertical="center"/>
      <protection hidden="1"/>
    </xf>
    <xf numFmtId="0" fontId="24" fillId="0" borderId="44" xfId="0" applyFont="1" applyBorder="1" applyAlignment="1" applyProtection="1">
      <alignment horizontal="center" vertical="center" shrinkToFit="1"/>
      <protection hidden="1"/>
    </xf>
    <xf numFmtId="0" fontId="25" fillId="0" borderId="54" xfId="0" applyFont="1" applyBorder="1" applyAlignment="1" applyProtection="1">
      <alignment horizontal="left" vertical="center" shrinkToFit="1"/>
      <protection hidden="1"/>
    </xf>
    <xf numFmtId="0" fontId="25" fillId="0" borderId="44" xfId="0" applyFont="1" applyBorder="1" applyAlignment="1" applyProtection="1">
      <alignment horizontal="left" vertical="center" shrinkToFit="1"/>
      <protection hidden="1"/>
    </xf>
    <xf numFmtId="41" fontId="13" fillId="0" borderId="25" xfId="1" applyFont="1" applyFill="1" applyBorder="1" applyAlignment="1" applyProtection="1">
      <alignment horizontal="center" vertical="center"/>
      <protection hidden="1"/>
    </xf>
    <xf numFmtId="0" fontId="3" fillId="3" borderId="7" xfId="0" applyFont="1" applyFill="1" applyBorder="1" applyAlignment="1" applyProtection="1">
      <alignment horizontal="left" vertical="center" wrapText="1"/>
      <protection hidden="1"/>
    </xf>
    <xf numFmtId="41" fontId="3" fillId="3" borderId="2" xfId="1" applyFont="1" applyFill="1" applyBorder="1" applyAlignment="1" applyProtection="1">
      <alignment horizontal="center" vertical="center" wrapText="1"/>
      <protection hidden="1"/>
    </xf>
    <xf numFmtId="181" fontId="15" fillId="3" borderId="29" xfId="0" applyNumberFormat="1" applyFont="1" applyFill="1" applyBorder="1" applyAlignment="1" applyProtection="1">
      <alignment horizontal="center" vertical="center"/>
      <protection hidden="1"/>
    </xf>
    <xf numFmtId="0" fontId="8" fillId="0" borderId="32" xfId="0" applyFont="1" applyBorder="1" applyAlignment="1" applyProtection="1">
      <alignment horizontal="center" vertical="center" shrinkToFit="1"/>
      <protection hidden="1"/>
    </xf>
    <xf numFmtId="0" fontId="0" fillId="13" borderId="22" xfId="0" applyFill="1" applyBorder="1" applyProtection="1">
      <alignment vertical="center"/>
      <protection hidden="1"/>
    </xf>
    <xf numFmtId="0" fontId="0" fillId="13" borderId="23" xfId="0" applyFill="1" applyBorder="1" applyProtection="1">
      <alignment vertical="center"/>
      <protection hidden="1"/>
    </xf>
    <xf numFmtId="0" fontId="0" fillId="13" borderId="24" xfId="0" applyFill="1" applyBorder="1" applyProtection="1">
      <alignment vertical="center"/>
      <protection hidden="1"/>
    </xf>
    <xf numFmtId="41" fontId="13" fillId="0" borderId="32" xfId="1" applyFont="1" applyFill="1" applyBorder="1" applyAlignment="1" applyProtection="1">
      <alignment horizontal="center" vertical="center"/>
      <protection hidden="1"/>
    </xf>
    <xf numFmtId="181" fontId="15" fillId="3" borderId="36" xfId="0" applyNumberFormat="1" applyFont="1" applyFill="1" applyBorder="1" applyAlignment="1" applyProtection="1">
      <alignment horizontal="center" vertical="center"/>
      <protection hidden="1"/>
    </xf>
    <xf numFmtId="41" fontId="25" fillId="0" borderId="49" xfId="0" applyNumberFormat="1" applyFont="1" applyBorder="1" applyAlignment="1" applyProtection="1">
      <alignment horizontal="center" vertical="center"/>
      <protection hidden="1"/>
    </xf>
    <xf numFmtId="0" fontId="3" fillId="4" borderId="2" xfId="0" applyFont="1" applyFill="1" applyBorder="1" applyAlignment="1" applyProtection="1">
      <alignment horizontal="center" vertical="center" wrapText="1"/>
      <protection hidden="1"/>
    </xf>
    <xf numFmtId="0" fontId="3" fillId="4" borderId="2" xfId="0" applyFont="1" applyFill="1" applyBorder="1" applyAlignment="1" applyProtection="1">
      <alignment horizontal="left" vertical="center" wrapText="1"/>
      <protection hidden="1"/>
    </xf>
    <xf numFmtId="41" fontId="69" fillId="4" borderId="2" xfId="1" applyFont="1" applyFill="1" applyBorder="1" applyAlignment="1" applyProtection="1">
      <alignment horizontal="center" vertical="center" shrinkToFit="1"/>
      <protection hidden="1"/>
    </xf>
    <xf numFmtId="41" fontId="69" fillId="12" borderId="2" xfId="1" applyFont="1" applyFill="1" applyBorder="1" applyAlignment="1" applyProtection="1">
      <alignment horizontal="center" vertical="center" shrinkToFit="1"/>
      <protection hidden="1"/>
    </xf>
    <xf numFmtId="0" fontId="8" fillId="9" borderId="119" xfId="0" applyFont="1" applyFill="1" applyBorder="1" applyAlignment="1" applyProtection="1">
      <alignment horizontal="center" vertical="center" shrinkToFit="1"/>
      <protection hidden="1"/>
    </xf>
    <xf numFmtId="0" fontId="8" fillId="9" borderId="102" xfId="0" applyFont="1" applyFill="1" applyBorder="1" applyAlignment="1" applyProtection="1">
      <alignment horizontal="center" vertical="center" shrinkToFit="1"/>
      <protection hidden="1"/>
    </xf>
    <xf numFmtId="0" fontId="8" fillId="8" borderId="102" xfId="0" applyFont="1" applyFill="1" applyBorder="1" applyAlignment="1" applyProtection="1">
      <alignment horizontal="center" vertical="center" shrinkToFit="1"/>
      <protection hidden="1"/>
    </xf>
    <xf numFmtId="41" fontId="7" fillId="5" borderId="11" xfId="1" applyFont="1" applyFill="1" applyBorder="1" applyAlignment="1" applyProtection="1">
      <alignment horizontal="center" vertical="center" shrinkToFit="1"/>
      <protection hidden="1"/>
    </xf>
    <xf numFmtId="0" fontId="8" fillId="8" borderId="120" xfId="0" applyFont="1" applyFill="1" applyBorder="1" applyAlignment="1" applyProtection="1">
      <alignment horizontal="center" vertical="center" shrinkToFit="1"/>
      <protection hidden="1"/>
    </xf>
    <xf numFmtId="0" fontId="8" fillId="8" borderId="32" xfId="0" applyFont="1" applyFill="1" applyBorder="1" applyAlignment="1" applyProtection="1">
      <alignment horizontal="center" vertical="center" shrinkToFit="1"/>
      <protection hidden="1"/>
    </xf>
    <xf numFmtId="0" fontId="25" fillId="0" borderId="22" xfId="0" applyFont="1" applyBorder="1" applyProtection="1">
      <alignment vertical="center"/>
      <protection hidden="1"/>
    </xf>
    <xf numFmtId="0" fontId="3" fillId="3" borderId="98" xfId="0" applyFont="1" applyFill="1" applyBorder="1" applyAlignment="1" applyProtection="1">
      <alignment horizontal="left" vertical="center" wrapText="1"/>
      <protection hidden="1"/>
    </xf>
    <xf numFmtId="0" fontId="3" fillId="3" borderId="94" xfId="0" applyFont="1" applyFill="1" applyBorder="1" applyAlignment="1" applyProtection="1">
      <alignment horizontal="center" vertical="center" wrapText="1"/>
      <protection hidden="1"/>
    </xf>
    <xf numFmtId="0" fontId="3" fillId="3" borderId="117" xfId="0" applyFont="1" applyFill="1" applyBorder="1" applyAlignment="1" applyProtection="1">
      <alignment horizontal="left" vertical="center" wrapText="1"/>
      <protection hidden="1"/>
    </xf>
    <xf numFmtId="0" fontId="3" fillId="3" borderId="118" xfId="0" applyFont="1" applyFill="1" applyBorder="1" applyAlignment="1" applyProtection="1">
      <alignment horizontal="center" vertical="center" wrapText="1"/>
      <protection hidden="1"/>
    </xf>
    <xf numFmtId="176" fontId="15" fillId="3" borderId="36" xfId="0" applyNumberFormat="1" applyFont="1" applyFill="1" applyBorder="1" applyAlignment="1" applyProtection="1">
      <alignment horizontal="center" vertical="center"/>
      <protection hidden="1"/>
    </xf>
    <xf numFmtId="41" fontId="13" fillId="0" borderId="47" xfId="1" applyFont="1" applyFill="1" applyBorder="1" applyAlignment="1" applyProtection="1">
      <alignment horizontal="center" vertical="center"/>
      <protection hidden="1"/>
    </xf>
    <xf numFmtId="0" fontId="3" fillId="3" borderId="212" xfId="0" applyFont="1" applyFill="1" applyBorder="1" applyAlignment="1" applyProtection="1">
      <alignment horizontal="left" vertical="center" wrapText="1"/>
      <protection hidden="1"/>
    </xf>
    <xf numFmtId="0" fontId="3" fillId="3" borderId="213" xfId="0" applyFont="1" applyFill="1" applyBorder="1" applyAlignment="1" applyProtection="1">
      <alignment horizontal="center" vertical="center" wrapText="1"/>
      <protection hidden="1"/>
    </xf>
    <xf numFmtId="41" fontId="3" fillId="3" borderId="94" xfId="1" applyFont="1" applyFill="1" applyBorder="1" applyAlignment="1" applyProtection="1">
      <alignment horizontal="center" vertical="center" wrapText="1"/>
      <protection hidden="1"/>
    </xf>
    <xf numFmtId="181" fontId="15" fillId="3" borderId="43" xfId="0" applyNumberFormat="1" applyFont="1" applyFill="1" applyBorder="1" applyAlignment="1" applyProtection="1">
      <alignment horizontal="center" vertical="center"/>
      <protection hidden="1"/>
    </xf>
    <xf numFmtId="0" fontId="8" fillId="9" borderId="69" xfId="0" applyFont="1" applyFill="1" applyBorder="1" applyAlignment="1" applyProtection="1">
      <alignment horizontal="center" vertical="center" shrinkToFit="1"/>
      <protection hidden="1"/>
    </xf>
    <xf numFmtId="0" fontId="3" fillId="2" borderId="65" xfId="0" applyFont="1" applyFill="1" applyBorder="1" applyAlignment="1" applyProtection="1">
      <alignment horizontal="left" vertical="center" wrapText="1"/>
      <protection hidden="1"/>
    </xf>
    <xf numFmtId="0" fontId="3" fillId="2" borderId="61" xfId="0" applyFont="1" applyFill="1" applyBorder="1" applyAlignment="1" applyProtection="1">
      <alignment horizontal="center" vertical="center" wrapText="1"/>
      <protection hidden="1"/>
    </xf>
    <xf numFmtId="41" fontId="3" fillId="2" borderId="61" xfId="1" applyFont="1" applyFill="1" applyBorder="1" applyAlignment="1" applyProtection="1">
      <alignment horizontal="center" vertical="center" wrapText="1"/>
      <protection hidden="1"/>
    </xf>
    <xf numFmtId="181" fontId="15" fillId="2" borderId="56" xfId="0" applyNumberFormat="1" applyFont="1" applyFill="1" applyBorder="1" applyAlignment="1" applyProtection="1">
      <alignment horizontal="center" vertical="center"/>
      <protection hidden="1"/>
    </xf>
    <xf numFmtId="0" fontId="8" fillId="16" borderId="106" xfId="0" applyFont="1" applyFill="1" applyBorder="1" applyAlignment="1" applyProtection="1">
      <alignment horizontal="center" vertical="center" shrinkToFit="1"/>
      <protection hidden="1"/>
    </xf>
    <xf numFmtId="0" fontId="31" fillId="0" borderId="27" xfId="0" applyFont="1" applyBorder="1" applyAlignment="1" applyProtection="1">
      <alignment horizontal="left" vertical="center"/>
      <protection hidden="1"/>
    </xf>
    <xf numFmtId="0" fontId="31" fillId="0" borderId="54" xfId="0" applyFont="1" applyBorder="1" applyAlignment="1" applyProtection="1">
      <alignment horizontal="left" vertical="center"/>
      <protection hidden="1"/>
    </xf>
    <xf numFmtId="0" fontId="3" fillId="2" borderId="7" xfId="0" applyFont="1" applyFill="1" applyBorder="1" applyAlignment="1" applyProtection="1">
      <alignment horizontal="left" vertical="center" wrapText="1"/>
      <protection hidden="1"/>
    </xf>
    <xf numFmtId="41" fontId="3" fillId="2" borderId="2" xfId="1" applyFont="1" applyFill="1" applyBorder="1" applyAlignment="1" applyProtection="1">
      <alignment horizontal="center" vertical="center" wrapText="1"/>
      <protection hidden="1"/>
    </xf>
    <xf numFmtId="181" fontId="15" fillId="2" borderId="36" xfId="0" applyNumberFormat="1" applyFont="1" applyFill="1" applyBorder="1" applyAlignment="1" applyProtection="1">
      <alignment horizontal="center" vertical="center"/>
      <protection hidden="1"/>
    </xf>
    <xf numFmtId="0" fontId="8" fillId="16" borderId="102" xfId="0" applyFont="1" applyFill="1" applyBorder="1" applyAlignment="1" applyProtection="1">
      <alignment horizontal="center" vertical="center" shrinkToFit="1"/>
      <protection hidden="1"/>
    </xf>
    <xf numFmtId="41" fontId="3" fillId="2" borderId="2" xfId="0" applyNumberFormat="1" applyFont="1" applyFill="1" applyBorder="1" applyAlignment="1" applyProtection="1">
      <alignment horizontal="center" vertical="center" wrapText="1"/>
      <protection hidden="1"/>
    </xf>
    <xf numFmtId="0" fontId="8" fillId="16" borderId="32" xfId="0" applyFont="1" applyFill="1" applyBorder="1" applyAlignment="1" applyProtection="1">
      <alignment horizontal="center" vertical="center" shrinkToFit="1"/>
      <protection hidden="1"/>
    </xf>
    <xf numFmtId="0" fontId="3" fillId="2" borderId="66" xfId="0" applyFont="1" applyFill="1" applyBorder="1" applyAlignment="1" applyProtection="1">
      <alignment horizontal="left" vertical="center" wrapText="1"/>
      <protection hidden="1"/>
    </xf>
    <xf numFmtId="0" fontId="3" fillId="2" borderId="63" xfId="0" applyFont="1" applyFill="1" applyBorder="1" applyAlignment="1" applyProtection="1">
      <alignment horizontal="center" vertical="center" wrapText="1"/>
      <protection hidden="1"/>
    </xf>
    <xf numFmtId="41" fontId="3" fillId="2" borderId="63" xfId="1" applyFont="1" applyFill="1" applyBorder="1" applyAlignment="1" applyProtection="1">
      <alignment horizontal="center" vertical="center" wrapText="1"/>
      <protection hidden="1"/>
    </xf>
    <xf numFmtId="0" fontId="8" fillId="0" borderId="47" xfId="0" applyFont="1" applyBorder="1" applyAlignment="1" applyProtection="1">
      <alignment horizontal="center" vertical="center" shrinkToFit="1"/>
      <protection hidden="1"/>
    </xf>
    <xf numFmtId="0" fontId="3" fillId="4" borderId="65" xfId="0" applyFont="1" applyFill="1" applyBorder="1" applyAlignment="1" applyProtection="1">
      <alignment horizontal="left" vertical="center" wrapText="1"/>
      <protection hidden="1"/>
    </xf>
    <xf numFmtId="0" fontId="3" fillId="4" borderId="61" xfId="0" applyFont="1" applyFill="1" applyBorder="1" applyAlignment="1" applyProtection="1">
      <alignment horizontal="center" vertical="center" wrapText="1"/>
      <protection hidden="1"/>
    </xf>
    <xf numFmtId="41" fontId="3" fillId="4" borderId="61" xfId="1" applyFont="1" applyFill="1" applyBorder="1" applyAlignment="1" applyProtection="1">
      <alignment horizontal="center" vertical="center" wrapText="1"/>
      <protection hidden="1"/>
    </xf>
    <xf numFmtId="181" fontId="15" fillId="4" borderId="56" xfId="0" applyNumberFormat="1" applyFont="1" applyFill="1" applyBorder="1" applyAlignment="1" applyProtection="1">
      <alignment horizontal="center" vertical="center"/>
      <protection hidden="1"/>
    </xf>
    <xf numFmtId="0" fontId="8" fillId="12" borderId="106" xfId="0" applyFont="1" applyFill="1" applyBorder="1" applyAlignment="1" applyProtection="1">
      <alignment horizontal="center" vertical="center" shrinkToFit="1"/>
      <protection hidden="1"/>
    </xf>
    <xf numFmtId="0" fontId="3" fillId="4" borderId="7" xfId="0" applyFont="1" applyFill="1" applyBorder="1" applyAlignment="1" applyProtection="1">
      <alignment horizontal="left" vertical="center" wrapText="1"/>
      <protection hidden="1"/>
    </xf>
    <xf numFmtId="41" fontId="3" fillId="4" borderId="2" xfId="1" applyFont="1" applyFill="1" applyBorder="1" applyAlignment="1" applyProtection="1">
      <alignment horizontal="center" vertical="center" wrapText="1"/>
      <protection hidden="1"/>
    </xf>
    <xf numFmtId="181" fontId="15" fillId="4" borderId="36" xfId="0" applyNumberFormat="1" applyFont="1" applyFill="1" applyBorder="1" applyAlignment="1" applyProtection="1">
      <alignment horizontal="center" vertical="center"/>
      <protection hidden="1"/>
    </xf>
    <xf numFmtId="0" fontId="8" fillId="12" borderId="102" xfId="0" applyFont="1" applyFill="1" applyBorder="1" applyAlignment="1" applyProtection="1">
      <alignment horizontal="center" vertical="center" shrinkToFit="1"/>
      <protection hidden="1"/>
    </xf>
    <xf numFmtId="0" fontId="3" fillId="4" borderId="66" xfId="0" applyFont="1" applyFill="1" applyBorder="1" applyAlignment="1" applyProtection="1">
      <alignment horizontal="left" vertical="center" wrapText="1"/>
      <protection hidden="1"/>
    </xf>
    <xf numFmtId="0" fontId="3" fillId="4" borderId="63" xfId="0" applyFont="1" applyFill="1" applyBorder="1" applyAlignment="1" applyProtection="1">
      <alignment horizontal="center" vertical="center" wrapText="1"/>
      <protection hidden="1"/>
    </xf>
    <xf numFmtId="41" fontId="3" fillId="4" borderId="63" xfId="1" applyFont="1" applyFill="1" applyBorder="1" applyAlignment="1" applyProtection="1">
      <alignment horizontal="center" vertical="center" wrapText="1"/>
      <protection hidden="1"/>
    </xf>
    <xf numFmtId="41" fontId="25" fillId="0" borderId="74" xfId="0" applyNumberFormat="1" applyFont="1" applyBorder="1" applyAlignment="1" applyProtection="1">
      <alignment horizontal="center" vertical="center"/>
      <protection hidden="1"/>
    </xf>
    <xf numFmtId="0" fontId="3" fillId="3" borderId="55" xfId="0" applyFont="1" applyFill="1" applyBorder="1" applyAlignment="1" applyProtection="1">
      <alignment horizontal="left" vertical="center" wrapText="1"/>
      <protection hidden="1"/>
    </xf>
    <xf numFmtId="0" fontId="3" fillId="3" borderId="56" xfId="0" applyFont="1" applyFill="1" applyBorder="1" applyAlignment="1" applyProtection="1">
      <alignment horizontal="center" vertical="center" wrapText="1"/>
      <protection hidden="1"/>
    </xf>
    <xf numFmtId="0" fontId="16" fillId="9" borderId="25" xfId="0" applyFont="1" applyFill="1" applyBorder="1" applyAlignment="1" applyProtection="1">
      <alignment horizontal="center" vertical="center" shrinkToFit="1"/>
      <protection hidden="1"/>
    </xf>
    <xf numFmtId="0" fontId="3" fillId="3" borderId="35" xfId="0" applyFont="1" applyFill="1" applyBorder="1" applyAlignment="1" applyProtection="1">
      <alignment horizontal="left" vertical="center" wrapText="1"/>
      <protection hidden="1"/>
    </xf>
    <xf numFmtId="0" fontId="3" fillId="3" borderId="36" xfId="0" applyFont="1" applyFill="1" applyBorder="1" applyAlignment="1" applyProtection="1">
      <alignment horizontal="center" vertical="center" wrapText="1"/>
      <protection hidden="1"/>
    </xf>
    <xf numFmtId="0" fontId="16" fillId="9" borderId="32" xfId="0" applyFont="1" applyFill="1" applyBorder="1" applyAlignment="1" applyProtection="1">
      <alignment horizontal="center" vertical="center" shrinkToFit="1"/>
      <protection hidden="1"/>
    </xf>
    <xf numFmtId="0" fontId="26" fillId="0" borderId="54" xfId="0" applyFont="1" applyBorder="1" applyAlignment="1" applyProtection="1">
      <alignment horizontal="center" vertical="center"/>
      <protection hidden="1"/>
    </xf>
    <xf numFmtId="0" fontId="16" fillId="0" borderId="34" xfId="0" applyFont="1" applyBorder="1" applyAlignment="1" applyProtection="1">
      <alignment horizontal="center" vertical="center" shrinkToFit="1"/>
      <protection hidden="1"/>
    </xf>
    <xf numFmtId="0" fontId="16" fillId="0" borderId="57" xfId="0" applyFont="1" applyBorder="1" applyAlignment="1" applyProtection="1">
      <alignment horizontal="center" vertical="center" shrinkToFit="1"/>
      <protection hidden="1"/>
    </xf>
    <xf numFmtId="0" fontId="0" fillId="8" borderId="22" xfId="0" applyFill="1" applyBorder="1" applyProtection="1">
      <alignment vertical="center"/>
      <protection hidden="1"/>
    </xf>
    <xf numFmtId="0" fontId="0" fillId="8" borderId="23" xfId="0" applyFill="1" applyBorder="1" applyProtection="1">
      <alignment vertical="center"/>
      <protection hidden="1"/>
    </xf>
    <xf numFmtId="0" fontId="0" fillId="8" borderId="24" xfId="0" applyFill="1" applyBorder="1" applyProtection="1">
      <alignment vertical="center"/>
      <protection hidden="1"/>
    </xf>
    <xf numFmtId="0" fontId="25" fillId="0" borderId="48" xfId="0" applyFont="1" applyBorder="1" applyAlignment="1" applyProtection="1">
      <alignment horizontal="center" vertical="center"/>
      <protection hidden="1"/>
    </xf>
    <xf numFmtId="0" fontId="37" fillId="0" borderId="54" xfId="0" applyFont="1" applyBorder="1" applyProtection="1">
      <alignment vertical="center"/>
      <protection hidden="1"/>
    </xf>
    <xf numFmtId="49" fontId="15" fillId="0" borderId="34" xfId="4" applyNumberFormat="1" applyFont="1" applyBorder="1" applyAlignment="1" applyProtection="1">
      <alignment horizontal="center" vertical="center"/>
      <protection hidden="1"/>
    </xf>
    <xf numFmtId="49" fontId="15" fillId="0" borderId="57" xfId="4" applyNumberFormat="1" applyFont="1" applyBorder="1" applyAlignment="1" applyProtection="1">
      <alignment horizontal="center" vertical="center"/>
      <protection hidden="1"/>
    </xf>
    <xf numFmtId="0" fontId="3" fillId="3" borderId="60" xfId="0" applyFont="1" applyFill="1" applyBorder="1" applyAlignment="1" applyProtection="1">
      <alignment horizontal="left" vertical="center" wrapText="1"/>
      <protection hidden="1"/>
    </xf>
    <xf numFmtId="0" fontId="3" fillId="3" borderId="58" xfId="0" applyFont="1" applyFill="1" applyBorder="1" applyAlignment="1" applyProtection="1">
      <alignment horizontal="center" vertical="center" wrapText="1"/>
      <protection hidden="1"/>
    </xf>
    <xf numFmtId="41" fontId="3" fillId="3" borderId="63" xfId="1" applyFont="1" applyFill="1" applyBorder="1" applyAlignment="1" applyProtection="1">
      <alignment horizontal="center" vertical="center" wrapText="1"/>
      <protection hidden="1"/>
    </xf>
    <xf numFmtId="0" fontId="3" fillId="2" borderId="55" xfId="0" applyFont="1" applyFill="1" applyBorder="1" applyAlignment="1" applyProtection="1">
      <alignment horizontal="left" vertical="center" wrapText="1"/>
      <protection hidden="1"/>
    </xf>
    <xf numFmtId="0" fontId="3" fillId="2" borderId="56" xfId="0" applyFont="1" applyFill="1" applyBorder="1" applyAlignment="1" applyProtection="1">
      <alignment horizontal="center" vertical="center" wrapText="1"/>
      <protection hidden="1"/>
    </xf>
    <xf numFmtId="0" fontId="8" fillId="0" borderId="25" xfId="0" applyFont="1" applyBorder="1" applyAlignment="1" applyProtection="1">
      <alignment horizontal="center" vertical="center" shrinkToFit="1"/>
      <protection hidden="1"/>
    </xf>
    <xf numFmtId="0" fontId="3" fillId="2" borderId="35" xfId="0" applyFont="1" applyFill="1" applyBorder="1" applyAlignment="1" applyProtection="1">
      <alignment horizontal="left" vertical="center" wrapText="1"/>
      <protection hidden="1"/>
    </xf>
    <xf numFmtId="0" fontId="3" fillId="2" borderId="36" xfId="0" applyFont="1" applyFill="1" applyBorder="1" applyAlignment="1" applyProtection="1">
      <alignment horizontal="center" vertical="center" wrapText="1"/>
      <protection hidden="1"/>
    </xf>
    <xf numFmtId="41" fontId="3" fillId="2" borderId="36" xfId="0" applyNumberFormat="1" applyFont="1" applyFill="1" applyBorder="1" applyAlignment="1" applyProtection="1">
      <alignment horizontal="center" vertical="center" wrapText="1"/>
      <protection hidden="1"/>
    </xf>
    <xf numFmtId="0" fontId="16" fillId="16" borderId="32" xfId="0" applyFont="1" applyFill="1" applyBorder="1" applyAlignment="1" applyProtection="1">
      <alignment horizontal="center" vertical="center" shrinkToFit="1"/>
      <protection hidden="1"/>
    </xf>
    <xf numFmtId="0" fontId="3" fillId="4" borderId="55" xfId="0" applyFont="1" applyFill="1" applyBorder="1" applyAlignment="1" applyProtection="1">
      <alignment horizontal="left" vertical="center" wrapText="1"/>
      <protection hidden="1"/>
    </xf>
    <xf numFmtId="0" fontId="3" fillId="4" borderId="56" xfId="0" applyFont="1" applyFill="1" applyBorder="1" applyAlignment="1" applyProtection="1">
      <alignment horizontal="center" vertical="center" wrapText="1"/>
      <protection hidden="1"/>
    </xf>
    <xf numFmtId="0" fontId="3" fillId="4" borderId="35" xfId="0" applyFont="1" applyFill="1" applyBorder="1" applyAlignment="1" applyProtection="1">
      <alignment horizontal="left" vertical="center" wrapText="1"/>
      <protection hidden="1"/>
    </xf>
    <xf numFmtId="0" fontId="3" fillId="4" borderId="36" xfId="0" applyFont="1" applyFill="1" applyBorder="1" applyAlignment="1" applyProtection="1">
      <alignment horizontal="center" vertical="center" wrapText="1"/>
      <protection hidden="1"/>
    </xf>
    <xf numFmtId="41" fontId="7" fillId="6" borderId="11" xfId="1" applyFont="1" applyFill="1" applyBorder="1" applyAlignment="1" applyProtection="1">
      <alignment horizontal="center" vertical="center" shrinkToFit="1"/>
      <protection hidden="1"/>
    </xf>
    <xf numFmtId="41" fontId="7" fillId="3" borderId="11" xfId="1" applyFont="1" applyFill="1" applyBorder="1" applyAlignment="1" applyProtection="1">
      <alignment horizontal="center" vertical="center" shrinkToFit="1"/>
      <protection hidden="1"/>
    </xf>
    <xf numFmtId="0" fontId="0" fillId="0" borderId="0" xfId="0" applyAlignment="1" applyProtection="1">
      <alignment horizontal="left" vertical="center"/>
      <protection hidden="1"/>
    </xf>
    <xf numFmtId="0" fontId="16" fillId="12" borderId="32" xfId="0" applyFont="1" applyFill="1" applyBorder="1" applyAlignment="1" applyProtection="1">
      <alignment horizontal="center" vertical="center" shrinkToFit="1"/>
      <protection hidden="1"/>
    </xf>
    <xf numFmtId="0" fontId="3" fillId="4" borderId="60" xfId="0" applyFont="1" applyFill="1" applyBorder="1" applyAlignment="1" applyProtection="1">
      <alignment horizontal="left" vertical="center" wrapText="1"/>
      <protection hidden="1"/>
    </xf>
    <xf numFmtId="0" fontId="3" fillId="4" borderId="58" xfId="0" applyFont="1" applyFill="1" applyBorder="1" applyAlignment="1" applyProtection="1">
      <alignment horizontal="center" vertical="center" wrapText="1"/>
      <protection hidden="1"/>
    </xf>
    <xf numFmtId="41" fontId="11" fillId="0" borderId="0" xfId="1" applyFont="1" applyProtection="1">
      <alignment vertical="center"/>
      <protection hidden="1"/>
    </xf>
    <xf numFmtId="0" fontId="11" fillId="0" borderId="0" xfId="0" applyFont="1" applyAlignment="1" applyProtection="1">
      <alignment horizontal="center" vertical="center"/>
      <protection hidden="1"/>
    </xf>
    <xf numFmtId="0" fontId="11" fillId="0" borderId="0" xfId="0" applyFont="1" applyAlignment="1" applyProtection="1">
      <alignment horizontal="center" vertical="center" shrinkToFit="1"/>
      <protection hidden="1"/>
    </xf>
    <xf numFmtId="41" fontId="8" fillId="0" borderId="70" xfId="1" applyFont="1" applyFill="1" applyBorder="1" applyProtection="1">
      <alignment vertical="center"/>
      <protection locked="0"/>
    </xf>
    <xf numFmtId="41" fontId="8" fillId="0" borderId="31" xfId="1" applyFont="1" applyFill="1" applyBorder="1" applyProtection="1">
      <alignment vertical="center"/>
      <protection locked="0"/>
    </xf>
    <xf numFmtId="9" fontId="8" fillId="6" borderId="34" xfId="2" applyFont="1" applyFill="1" applyBorder="1" applyAlignment="1" applyProtection="1">
      <alignment horizontal="center" vertical="center" shrinkToFit="1"/>
      <protection locked="0"/>
    </xf>
    <xf numFmtId="9" fontId="8" fillId="9" borderId="45" xfId="2" applyFont="1" applyFill="1" applyBorder="1" applyAlignment="1" applyProtection="1">
      <alignment horizontal="center" vertical="center" shrinkToFit="1"/>
      <protection locked="0"/>
    </xf>
    <xf numFmtId="41" fontId="8" fillId="9" borderId="46" xfId="1" applyFont="1" applyFill="1" applyBorder="1" applyAlignment="1" applyProtection="1">
      <alignment horizontal="center" vertical="center" shrinkToFit="1"/>
      <protection locked="0"/>
    </xf>
    <xf numFmtId="41" fontId="8" fillId="6" borderId="27" xfId="1" applyFont="1" applyFill="1" applyBorder="1" applyProtection="1">
      <alignment vertical="center"/>
      <protection locked="0"/>
    </xf>
    <xf numFmtId="41" fontId="8" fillId="6" borderId="44" xfId="1" applyFont="1" applyFill="1" applyBorder="1" applyProtection="1">
      <alignment vertical="center"/>
      <protection locked="0"/>
    </xf>
    <xf numFmtId="41" fontId="8" fillId="6" borderId="54" xfId="1" applyFont="1" applyFill="1" applyBorder="1" applyProtection="1">
      <alignment vertical="center"/>
      <protection locked="0"/>
    </xf>
    <xf numFmtId="41" fontId="8" fillId="6" borderId="34" xfId="1" applyFont="1" applyFill="1" applyBorder="1" applyProtection="1">
      <alignment vertical="center"/>
      <protection locked="0"/>
    </xf>
    <xf numFmtId="41" fontId="8" fillId="6" borderId="31" xfId="1" applyFont="1" applyFill="1" applyBorder="1" applyProtection="1">
      <alignment vertical="center"/>
      <protection locked="0"/>
    </xf>
    <xf numFmtId="41" fontId="8" fillId="6" borderId="57" xfId="1" applyFont="1" applyFill="1" applyBorder="1" applyProtection="1">
      <alignment vertical="center"/>
      <protection locked="0"/>
    </xf>
    <xf numFmtId="176" fontId="8" fillId="6" borderId="45" xfId="1" applyNumberFormat="1" applyFont="1" applyFill="1" applyBorder="1" applyAlignment="1" applyProtection="1">
      <alignment horizontal="center" vertical="center" shrinkToFit="1"/>
      <protection locked="0"/>
    </xf>
    <xf numFmtId="41" fontId="8" fillId="0" borderId="33" xfId="1" applyFont="1" applyFill="1" applyBorder="1" applyAlignment="1" applyProtection="1">
      <alignment horizontal="center" vertical="center" shrinkToFit="1"/>
      <protection locked="0"/>
    </xf>
    <xf numFmtId="41" fontId="8" fillId="0" borderId="38" xfId="1" applyFont="1" applyFill="1" applyBorder="1" applyAlignment="1" applyProtection="1">
      <alignment horizontal="center" vertical="center" shrinkToFit="1"/>
      <protection locked="0"/>
    </xf>
    <xf numFmtId="176" fontId="8" fillId="6" borderId="40" xfId="1" applyNumberFormat="1" applyFont="1" applyFill="1" applyBorder="1" applyAlignment="1" applyProtection="1">
      <alignment horizontal="center" vertical="center" shrinkToFit="1"/>
      <protection locked="0"/>
    </xf>
    <xf numFmtId="179" fontId="8" fillId="6" borderId="30" xfId="0" applyNumberFormat="1" applyFont="1" applyFill="1" applyBorder="1" applyAlignment="1" applyProtection="1">
      <alignment horizontal="center" vertical="center"/>
      <protection locked="0"/>
    </xf>
    <xf numFmtId="181" fontId="8" fillId="6" borderId="26" xfId="1" applyNumberFormat="1" applyFont="1" applyFill="1" applyBorder="1" applyAlignment="1" applyProtection="1">
      <alignment horizontal="center" vertical="center" shrinkToFit="1"/>
      <protection locked="0"/>
    </xf>
    <xf numFmtId="41" fontId="8" fillId="6" borderId="53" xfId="1" applyFont="1" applyFill="1" applyBorder="1" applyAlignment="1" applyProtection="1">
      <alignment horizontal="center" vertical="center" shrinkToFit="1"/>
      <protection locked="0"/>
    </xf>
    <xf numFmtId="177" fontId="8" fillId="7" borderId="56" xfId="0" applyNumberFormat="1" applyFont="1" applyFill="1" applyBorder="1" applyProtection="1">
      <alignment vertical="center"/>
      <protection locked="0"/>
    </xf>
    <xf numFmtId="0" fontId="8" fillId="0" borderId="72" xfId="0" applyFont="1" applyBorder="1" applyAlignment="1" applyProtection="1">
      <alignment horizontal="center" vertical="center" shrinkToFit="1"/>
      <protection locked="0"/>
    </xf>
    <xf numFmtId="178" fontId="14" fillId="6" borderId="32" xfId="0" applyNumberFormat="1" applyFont="1" applyFill="1" applyBorder="1" applyAlignment="1" applyProtection="1">
      <alignment horizontal="center" vertical="center" shrinkToFit="1"/>
      <protection locked="0"/>
    </xf>
    <xf numFmtId="0" fontId="14" fillId="6" borderId="32" xfId="0" applyFont="1" applyFill="1" applyBorder="1" applyAlignment="1" applyProtection="1">
      <alignment horizontal="center" vertical="center" shrinkToFit="1"/>
      <protection locked="0"/>
    </xf>
    <xf numFmtId="0" fontId="8" fillId="0" borderId="73" xfId="0" applyFont="1" applyBorder="1" applyAlignment="1" applyProtection="1">
      <alignment horizontal="center" vertical="center" shrinkToFit="1"/>
      <protection locked="0"/>
    </xf>
    <xf numFmtId="41" fontId="13" fillId="6" borderId="54" xfId="1" applyFont="1" applyFill="1" applyBorder="1" applyProtection="1">
      <alignment vertical="center"/>
      <protection locked="0"/>
    </xf>
    <xf numFmtId="41" fontId="13" fillId="6" borderId="34" xfId="1" applyFont="1" applyFill="1" applyBorder="1" applyProtection="1">
      <alignment vertical="center"/>
      <protection locked="0"/>
    </xf>
    <xf numFmtId="181" fontId="8" fillId="6" borderId="31" xfId="1" applyNumberFormat="1" applyFont="1" applyFill="1" applyBorder="1" applyAlignment="1" applyProtection="1">
      <alignment horizontal="center" vertical="center" shrinkToFit="1"/>
      <protection locked="0"/>
    </xf>
    <xf numFmtId="41" fontId="13" fillId="6" borderId="57" xfId="1" applyFont="1" applyFill="1" applyBorder="1" applyProtection="1">
      <alignment vertical="center"/>
      <protection locked="0"/>
    </xf>
    <xf numFmtId="181" fontId="8" fillId="6" borderId="222" xfId="1" applyNumberFormat="1" applyFont="1" applyFill="1" applyBorder="1" applyAlignment="1" applyProtection="1">
      <alignment horizontal="center" vertical="center" shrinkToFit="1"/>
      <protection locked="0"/>
    </xf>
    <xf numFmtId="181" fontId="8" fillId="6" borderId="33" xfId="1" applyNumberFormat="1" applyFont="1" applyFill="1" applyBorder="1" applyAlignment="1" applyProtection="1">
      <alignment horizontal="center" vertical="center" shrinkToFit="1"/>
      <protection locked="0"/>
    </xf>
    <xf numFmtId="181" fontId="8" fillId="6" borderId="40" xfId="1" applyNumberFormat="1" applyFont="1" applyFill="1" applyBorder="1" applyAlignment="1" applyProtection="1">
      <alignment horizontal="center" vertical="center" shrinkToFit="1"/>
      <protection locked="0"/>
    </xf>
    <xf numFmtId="181" fontId="8" fillId="6" borderId="46" xfId="1" applyNumberFormat="1" applyFont="1" applyFill="1" applyBorder="1" applyAlignment="1" applyProtection="1">
      <alignment horizontal="center" vertical="center" shrinkToFit="1"/>
      <protection locked="0"/>
    </xf>
    <xf numFmtId="181" fontId="15" fillId="3" borderId="56" xfId="0" applyNumberFormat="1" applyFont="1" applyFill="1" applyBorder="1" applyAlignment="1" applyProtection="1">
      <alignment horizontal="center" vertical="center"/>
      <protection locked="0"/>
    </xf>
    <xf numFmtId="181" fontId="15" fillId="3" borderId="36" xfId="0" applyNumberFormat="1" applyFont="1" applyFill="1" applyBorder="1" applyAlignment="1" applyProtection="1">
      <alignment horizontal="center" vertical="center"/>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181" fontId="15" fillId="3" borderId="58" xfId="0" applyNumberFormat="1" applyFont="1" applyFill="1" applyBorder="1" applyAlignment="1" applyProtection="1">
      <alignment horizontal="center" vertical="center"/>
      <protection locked="0"/>
    </xf>
    <xf numFmtId="181" fontId="15" fillId="2" borderId="56" xfId="0" applyNumberFormat="1" applyFont="1" applyFill="1" applyBorder="1" applyAlignment="1" applyProtection="1">
      <alignment horizontal="center" vertical="center"/>
      <protection locked="0"/>
    </xf>
    <xf numFmtId="181" fontId="15" fillId="2" borderId="36" xfId="0" applyNumberFormat="1"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wrapText="1"/>
      <protection locked="0"/>
    </xf>
    <xf numFmtId="181" fontId="15" fillId="4" borderId="56" xfId="0" applyNumberFormat="1" applyFont="1" applyFill="1" applyBorder="1" applyAlignment="1" applyProtection="1">
      <alignment horizontal="center" vertical="center"/>
      <protection locked="0"/>
    </xf>
    <xf numFmtId="181" fontId="15" fillId="4" borderId="36" xfId="0" applyNumberFormat="1" applyFont="1" applyFill="1" applyBorder="1" applyAlignment="1" applyProtection="1">
      <alignment horizontal="center" vertical="center"/>
      <protection locked="0"/>
    </xf>
    <xf numFmtId="181" fontId="15" fillId="4" borderId="58" xfId="0" applyNumberFormat="1" applyFont="1" applyFill="1" applyBorder="1" applyAlignment="1" applyProtection="1">
      <alignment horizontal="center" vertical="center"/>
      <protection locked="0"/>
    </xf>
    <xf numFmtId="183" fontId="38" fillId="6" borderId="91" xfId="2" applyNumberFormat="1" applyFont="1" applyFill="1" applyBorder="1" applyAlignment="1" applyProtection="1">
      <alignment horizontal="center" vertical="center"/>
      <protection locked="0"/>
    </xf>
    <xf numFmtId="181" fontId="33" fillId="4" borderId="40" xfId="0" applyNumberFormat="1" applyFont="1" applyFill="1" applyBorder="1" applyAlignment="1" applyProtection="1">
      <alignment horizontal="center" vertical="center"/>
      <protection locked="0"/>
    </xf>
    <xf numFmtId="0" fontId="8" fillId="0" borderId="88" xfId="3" applyFont="1" applyBorder="1" applyAlignment="1" applyProtection="1">
      <alignment horizontal="left" vertical="center" shrinkToFit="1"/>
      <protection locked="0"/>
    </xf>
    <xf numFmtId="184" fontId="27" fillId="6" borderId="29" xfId="0" applyNumberFormat="1" applyFont="1" applyFill="1" applyBorder="1" applyAlignment="1" applyProtection="1">
      <alignment horizontal="center" vertical="center"/>
      <protection locked="0"/>
    </xf>
    <xf numFmtId="186" fontId="27" fillId="6" borderId="59" xfId="0" applyNumberFormat="1" applyFont="1" applyFill="1" applyBorder="1" applyAlignment="1" applyProtection="1">
      <alignment horizontal="center" vertical="center"/>
      <protection locked="0"/>
    </xf>
    <xf numFmtId="0" fontId="56" fillId="11" borderId="0" xfId="8" applyFont="1" applyFill="1" applyAlignment="1" applyProtection="1">
      <alignment horizontal="justify" vertical="center"/>
      <protection hidden="1"/>
    </xf>
    <xf numFmtId="0" fontId="32" fillId="11" borderId="0" xfId="8" applyFill="1" applyProtection="1">
      <protection hidden="1"/>
    </xf>
    <xf numFmtId="0" fontId="32" fillId="0" borderId="0" xfId="8" applyProtection="1">
      <protection hidden="1"/>
    </xf>
    <xf numFmtId="0" fontId="57" fillId="17" borderId="125" xfId="8" applyFont="1" applyFill="1" applyBorder="1" applyAlignment="1" applyProtection="1">
      <alignment vertical="center" wrapText="1"/>
      <protection hidden="1"/>
    </xf>
    <xf numFmtId="14" fontId="58" fillId="17" borderId="124" xfId="8" applyNumberFormat="1" applyFont="1" applyFill="1" applyBorder="1" applyAlignment="1" applyProtection="1">
      <alignment horizontal="center" vertical="center" wrapText="1"/>
      <protection hidden="1"/>
    </xf>
    <xf numFmtId="0" fontId="58" fillId="0" borderId="131" xfId="8" applyFont="1" applyBorder="1" applyAlignment="1" applyProtection="1">
      <alignment vertical="center" wrapText="1"/>
      <protection hidden="1"/>
    </xf>
    <xf numFmtId="0" fontId="58" fillId="0" borderId="132" xfId="8" applyFont="1" applyBorder="1" applyAlignment="1" applyProtection="1">
      <alignment vertical="center" wrapText="1"/>
      <protection hidden="1"/>
    </xf>
    <xf numFmtId="0" fontId="58" fillId="0" borderId="133" xfId="8" applyFont="1" applyBorder="1" applyAlignment="1" applyProtection="1">
      <alignment horizontal="center" vertical="center" wrapText="1"/>
      <protection hidden="1"/>
    </xf>
    <xf numFmtId="0" fontId="58" fillId="0" borderId="136" xfId="8" applyFont="1" applyBorder="1" applyAlignment="1" applyProtection="1">
      <alignment vertical="center" wrapText="1"/>
      <protection hidden="1"/>
    </xf>
    <xf numFmtId="0" fontId="58" fillId="0" borderId="137" xfId="8" applyFont="1" applyBorder="1" applyAlignment="1" applyProtection="1">
      <alignment vertical="center" wrapText="1"/>
      <protection hidden="1"/>
    </xf>
    <xf numFmtId="0" fontId="58" fillId="0" borderId="138" xfId="8" applyFont="1" applyBorder="1" applyAlignment="1" applyProtection="1">
      <alignment horizontal="center" vertical="center" wrapText="1"/>
      <protection hidden="1"/>
    </xf>
    <xf numFmtId="0" fontId="57" fillId="0" borderId="85" xfId="8" applyFont="1" applyBorder="1" applyAlignment="1" applyProtection="1">
      <alignment horizontal="left" vertical="center" wrapText="1"/>
      <protection hidden="1"/>
    </xf>
    <xf numFmtId="0" fontId="61" fillId="0" borderId="174" xfId="8" applyFont="1" applyBorder="1" applyAlignment="1" applyProtection="1">
      <alignment horizontal="center" vertical="center" wrapText="1"/>
      <protection hidden="1"/>
    </xf>
    <xf numFmtId="0" fontId="61" fillId="0" borderId="176" xfId="8" applyFont="1" applyBorder="1" applyAlignment="1" applyProtection="1">
      <alignment horizontal="center" vertical="center" wrapText="1"/>
      <protection hidden="1"/>
    </xf>
    <xf numFmtId="0" fontId="56" fillId="8" borderId="178" xfId="8" applyFont="1" applyFill="1" applyBorder="1" applyAlignment="1" applyProtection="1">
      <alignment horizontal="justify" vertical="center"/>
      <protection hidden="1"/>
    </xf>
    <xf numFmtId="0" fontId="56" fillId="8" borderId="179" xfId="8" applyFont="1" applyFill="1" applyBorder="1" applyAlignment="1" applyProtection="1">
      <alignment horizontal="justify" vertical="center"/>
      <protection hidden="1"/>
    </xf>
    <xf numFmtId="0" fontId="32" fillId="8" borderId="179" xfId="8" applyFill="1" applyBorder="1" applyProtection="1">
      <protection hidden="1"/>
    </xf>
    <xf numFmtId="0" fontId="32" fillId="8" borderId="180" xfId="8" applyFill="1" applyBorder="1" applyProtection="1">
      <protection hidden="1"/>
    </xf>
    <xf numFmtId="0" fontId="58" fillId="17" borderId="184" xfId="8" applyFont="1" applyFill="1" applyBorder="1" applyAlignment="1" applyProtection="1">
      <alignment horizontal="justify" vertical="center" wrapText="1"/>
      <protection hidden="1"/>
    </xf>
    <xf numFmtId="0" fontId="58" fillId="17" borderId="177" xfId="8" applyFont="1" applyFill="1" applyBorder="1" applyAlignment="1" applyProtection="1">
      <alignment horizontal="justify" vertical="center" wrapText="1"/>
      <protection hidden="1"/>
    </xf>
    <xf numFmtId="0" fontId="58" fillId="17" borderId="125" xfId="8" applyFont="1" applyFill="1" applyBorder="1" applyAlignment="1" applyProtection="1">
      <alignment vertical="center" wrapText="1"/>
      <protection hidden="1"/>
    </xf>
    <xf numFmtId="0" fontId="58" fillId="0" borderId="188" xfId="8" applyFont="1" applyBorder="1" applyAlignment="1" applyProtection="1">
      <alignment horizontal="center" vertical="center" wrapText="1"/>
      <protection hidden="1"/>
    </xf>
    <xf numFmtId="0" fontId="58" fillId="0" borderId="190" xfId="8" applyFont="1" applyBorder="1" applyAlignment="1" applyProtection="1">
      <alignment horizontal="center" vertical="center" wrapText="1"/>
      <protection hidden="1"/>
    </xf>
    <xf numFmtId="0" fontId="60" fillId="8" borderId="193" xfId="8" quotePrefix="1" applyFont="1" applyFill="1" applyBorder="1" applyAlignment="1" applyProtection="1">
      <alignment horizontal="right" vertical="center" wrapText="1"/>
      <protection hidden="1"/>
    </xf>
    <xf numFmtId="0" fontId="64" fillId="8" borderId="0" xfId="8" quotePrefix="1" applyFont="1" applyFill="1" applyAlignment="1" applyProtection="1">
      <alignment horizontal="right" vertical="center" wrapText="1"/>
      <protection hidden="1"/>
    </xf>
    <xf numFmtId="0" fontId="57" fillId="8" borderId="194" xfId="8" applyFont="1" applyFill="1" applyBorder="1" applyAlignment="1" applyProtection="1">
      <alignment horizontal="left" vertical="center" wrapText="1"/>
      <protection hidden="1"/>
    </xf>
    <xf numFmtId="0" fontId="29" fillId="0" borderId="79" xfId="0" applyFont="1" applyBorder="1" applyAlignment="1">
      <alignment horizontal="center" vertical="center"/>
    </xf>
    <xf numFmtId="0" fontId="29" fillId="0" borderId="80" xfId="0" applyFont="1" applyBorder="1" applyAlignment="1">
      <alignment horizontal="center" vertical="center"/>
    </xf>
    <xf numFmtId="9" fontId="25" fillId="9" borderId="49" xfId="2" applyFont="1" applyFill="1" applyBorder="1" applyAlignment="1" applyProtection="1">
      <alignment horizontal="center" vertical="center"/>
      <protection locked="0"/>
    </xf>
    <xf numFmtId="41" fontId="25" fillId="0" borderId="18" xfId="0" applyNumberFormat="1" applyFont="1" applyBorder="1" applyProtection="1">
      <alignment vertical="center"/>
      <protection hidden="1"/>
    </xf>
    <xf numFmtId="41" fontId="25" fillId="0" borderId="75" xfId="0" applyNumberFormat="1" applyFont="1" applyBorder="1" applyProtection="1">
      <alignment vertical="center"/>
      <protection hidden="1"/>
    </xf>
    <xf numFmtId="41" fontId="25" fillId="0" borderId="74" xfId="0" applyNumberFormat="1" applyFont="1" applyBorder="1" applyProtection="1">
      <alignment vertical="center"/>
      <protection hidden="1"/>
    </xf>
    <xf numFmtId="181" fontId="33" fillId="3" borderId="40" xfId="0" applyNumberFormat="1" applyFont="1" applyFill="1" applyBorder="1" applyAlignment="1" applyProtection="1">
      <alignment horizontal="center" vertical="center"/>
      <protection locked="0"/>
    </xf>
    <xf numFmtId="176" fontId="25" fillId="0" borderId="59" xfId="0" applyNumberFormat="1" applyFont="1" applyBorder="1" applyAlignment="1" applyProtection="1">
      <alignment horizontal="center" vertical="center"/>
      <protection hidden="1"/>
    </xf>
    <xf numFmtId="176" fontId="24" fillId="0" borderId="32" xfId="0" applyNumberFormat="1" applyFont="1" applyBorder="1" applyAlignment="1" applyProtection="1">
      <alignment horizontal="center" vertical="center"/>
      <protection hidden="1"/>
    </xf>
    <xf numFmtId="176" fontId="25" fillId="0" borderId="32" xfId="0" applyNumberFormat="1" applyFont="1" applyBorder="1" applyAlignment="1" applyProtection="1">
      <alignment horizontal="center" vertical="center"/>
      <protection hidden="1"/>
    </xf>
    <xf numFmtId="176" fontId="25" fillId="0" borderId="69" xfId="0" applyNumberFormat="1" applyFont="1" applyBorder="1" applyAlignment="1" applyProtection="1">
      <alignment horizontal="center" vertical="center"/>
      <protection hidden="1"/>
    </xf>
    <xf numFmtId="176" fontId="25" fillId="0" borderId="25" xfId="0" applyNumberFormat="1" applyFont="1" applyBorder="1" applyAlignment="1" applyProtection="1">
      <alignment horizontal="center" vertical="center"/>
      <protection hidden="1"/>
    </xf>
    <xf numFmtId="41" fontId="25" fillId="0" borderId="22" xfId="0" applyNumberFormat="1" applyFont="1" applyBorder="1" applyProtection="1">
      <alignment vertical="center"/>
      <protection hidden="1"/>
    </xf>
    <xf numFmtId="41" fontId="25" fillId="0" borderId="52" xfId="0" applyNumberFormat="1" applyFont="1" applyBorder="1" applyProtection="1">
      <alignment vertical="center"/>
      <protection hidden="1"/>
    </xf>
    <xf numFmtId="181" fontId="33" fillId="0" borderId="222" xfId="0" applyNumberFormat="1" applyFont="1" applyBorder="1" applyAlignment="1" applyProtection="1">
      <alignment horizontal="center" vertical="center"/>
      <protection hidden="1"/>
    </xf>
    <xf numFmtId="181" fontId="33" fillId="0" borderId="222" xfId="0" applyNumberFormat="1" applyFont="1" applyBorder="1" applyAlignment="1" applyProtection="1">
      <alignment horizontal="center" vertical="center"/>
      <protection locked="0"/>
    </xf>
    <xf numFmtId="41" fontId="25" fillId="0" borderId="25" xfId="0" applyNumberFormat="1" applyFont="1" applyBorder="1" applyProtection="1">
      <alignment vertical="center"/>
      <protection locked="0"/>
    </xf>
    <xf numFmtId="0" fontId="25" fillId="9" borderId="48" xfId="0" applyFont="1" applyFill="1" applyBorder="1" applyProtection="1">
      <alignment vertical="center"/>
      <protection hidden="1"/>
    </xf>
    <xf numFmtId="0" fontId="25" fillId="4" borderId="48" xfId="0" applyFont="1" applyFill="1" applyBorder="1" applyProtection="1">
      <alignment vertical="center"/>
      <protection hidden="1"/>
    </xf>
    <xf numFmtId="0" fontId="13" fillId="0" borderId="34" xfId="0" applyFont="1" applyBorder="1" applyProtection="1">
      <alignment vertical="center"/>
      <protection hidden="1"/>
    </xf>
    <xf numFmtId="0" fontId="13" fillId="0" borderId="57" xfId="0" applyFont="1" applyBorder="1" applyProtection="1">
      <alignment vertical="center"/>
      <protection hidden="1"/>
    </xf>
    <xf numFmtId="0" fontId="13" fillId="0" borderId="44" xfId="0" applyFont="1" applyBorder="1" applyProtection="1">
      <alignment vertical="center"/>
      <protection hidden="1"/>
    </xf>
    <xf numFmtId="0" fontId="24" fillId="0" borderId="28" xfId="0" applyFont="1" applyBorder="1" applyAlignment="1" applyProtection="1">
      <alignment horizontal="center" vertical="center"/>
      <protection hidden="1"/>
    </xf>
    <xf numFmtId="0" fontId="24" fillId="0" borderId="35" xfId="0" applyFont="1" applyBorder="1" applyAlignment="1" applyProtection="1">
      <alignment horizontal="center" vertical="center"/>
      <protection hidden="1"/>
    </xf>
    <xf numFmtId="0" fontId="24" fillId="0" borderId="42" xfId="0" applyFont="1" applyBorder="1" applyAlignment="1" applyProtection="1">
      <alignment horizontal="center" vertical="center"/>
      <protection hidden="1"/>
    </xf>
    <xf numFmtId="0" fontId="31" fillId="3" borderId="34" xfId="0" applyFont="1" applyFill="1" applyBorder="1" applyProtection="1">
      <alignment vertical="center"/>
      <protection locked="0"/>
    </xf>
    <xf numFmtId="0" fontId="31" fillId="2" borderId="34" xfId="0" applyFont="1" applyFill="1" applyBorder="1" applyProtection="1">
      <alignment vertical="center"/>
      <protection locked="0"/>
    </xf>
    <xf numFmtId="0" fontId="8" fillId="3" borderId="88" xfId="3" applyFont="1" applyFill="1" applyBorder="1" applyAlignment="1" applyProtection="1">
      <alignment horizontal="left" vertical="center" shrinkToFit="1"/>
      <protection locked="0"/>
    </xf>
    <xf numFmtId="0" fontId="86" fillId="6" borderId="57" xfId="0" applyFont="1" applyFill="1" applyBorder="1" applyProtection="1">
      <alignment vertical="center"/>
      <protection locked="0"/>
    </xf>
    <xf numFmtId="0" fontId="86" fillId="6" borderId="58" xfId="0" applyFont="1" applyFill="1" applyBorder="1" applyProtection="1">
      <alignment vertical="center"/>
      <protection locked="0"/>
    </xf>
    <xf numFmtId="0" fontId="86" fillId="6" borderId="47" xfId="0" applyFont="1" applyFill="1" applyBorder="1" applyProtection="1">
      <alignment vertical="center"/>
      <protection locked="0"/>
    </xf>
    <xf numFmtId="9" fontId="25" fillId="9" borderId="49" xfId="0" applyNumberFormat="1" applyFont="1" applyFill="1" applyBorder="1" applyAlignment="1" applyProtection="1">
      <alignment horizontal="center" vertical="center"/>
      <protection hidden="1"/>
    </xf>
    <xf numFmtId="176" fontId="25" fillId="3" borderId="49" xfId="0" applyNumberFormat="1" applyFont="1" applyFill="1" applyBorder="1" applyAlignment="1" applyProtection="1">
      <alignment horizontal="center" vertical="center"/>
      <protection hidden="1"/>
    </xf>
    <xf numFmtId="176" fontId="25" fillId="0" borderId="49" xfId="0" applyNumberFormat="1" applyFont="1" applyBorder="1" applyAlignment="1" applyProtection="1">
      <alignment horizontal="center" vertical="center"/>
      <protection hidden="1"/>
    </xf>
    <xf numFmtId="0" fontId="0" fillId="0" borderId="0" xfId="0" applyAlignment="1">
      <alignment horizontal="center" vertical="center"/>
    </xf>
    <xf numFmtId="0" fontId="26" fillId="0" borderId="51" xfId="0" applyFont="1" applyBorder="1" applyAlignment="1">
      <alignment horizontal="center" vertical="center"/>
    </xf>
    <xf numFmtId="0" fontId="26" fillId="0" borderId="74" xfId="0" applyFont="1" applyBorder="1" applyAlignment="1">
      <alignment horizontal="center" vertical="center"/>
    </xf>
    <xf numFmtId="41" fontId="3" fillId="10" borderId="29" xfId="1" applyFont="1" applyFill="1" applyBorder="1" applyAlignment="1">
      <alignment horizontal="center" vertical="center" wrapText="1"/>
    </xf>
    <xf numFmtId="0" fontId="3" fillId="10" borderId="34" xfId="0" applyFont="1" applyFill="1" applyBorder="1" applyAlignment="1">
      <alignment horizontal="left" vertical="center" wrapText="1"/>
    </xf>
    <xf numFmtId="0" fontId="3" fillId="10" borderId="36" xfId="0" applyFont="1" applyFill="1" applyBorder="1" applyAlignment="1">
      <alignment horizontal="center" vertical="center" wrapText="1"/>
    </xf>
    <xf numFmtId="0" fontId="3" fillId="10" borderId="3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27" xfId="0" applyFont="1" applyFill="1" applyBorder="1" applyAlignment="1">
      <alignment horizontal="left" vertical="center" wrapText="1"/>
    </xf>
    <xf numFmtId="0" fontId="3" fillId="6" borderId="29" xfId="0" applyFont="1" applyFill="1" applyBorder="1" applyAlignment="1">
      <alignment horizontal="center" vertical="center" wrapText="1"/>
    </xf>
    <xf numFmtId="41" fontId="3" fillId="6" borderId="29" xfId="1" applyFont="1" applyFill="1" applyBorder="1" applyAlignment="1">
      <alignment horizontal="center" vertical="center" wrapText="1"/>
    </xf>
    <xf numFmtId="0" fontId="3" fillId="6" borderId="34" xfId="0" applyFont="1" applyFill="1" applyBorder="1" applyAlignment="1">
      <alignment horizontal="center" vertical="center" wrapText="1"/>
    </xf>
    <xf numFmtId="0" fontId="3" fillId="6" borderId="34" xfId="0" applyFont="1" applyFill="1" applyBorder="1" applyAlignment="1">
      <alignment horizontal="left" vertical="center" wrapText="1"/>
    </xf>
    <xf numFmtId="0" fontId="3" fillId="6" borderId="36" xfId="0" applyFont="1" applyFill="1" applyBorder="1" applyAlignment="1">
      <alignment horizontal="center" vertical="center" wrapText="1"/>
    </xf>
    <xf numFmtId="0" fontId="3" fillId="9" borderId="34" xfId="0" applyFont="1" applyFill="1" applyBorder="1" applyAlignment="1">
      <alignment horizontal="left" vertical="center" wrapText="1"/>
    </xf>
    <xf numFmtId="0" fontId="3" fillId="9" borderId="36" xfId="0" applyFont="1" applyFill="1" applyBorder="1" applyAlignment="1">
      <alignment horizontal="center" vertical="center" wrapText="1"/>
    </xf>
    <xf numFmtId="41" fontId="3" fillId="9" borderId="36" xfId="1" applyFont="1" applyFill="1" applyBorder="1" applyAlignment="1">
      <alignment horizontal="center" vertical="center" wrapText="1"/>
    </xf>
    <xf numFmtId="41" fontId="3" fillId="3" borderId="56" xfId="0" applyNumberFormat="1" applyFont="1" applyFill="1" applyBorder="1" applyAlignment="1" applyProtection="1">
      <alignment horizontal="center" vertical="center" wrapText="1"/>
      <protection hidden="1"/>
    </xf>
    <xf numFmtId="41" fontId="3" fillId="3" borderId="36" xfId="0" applyNumberFormat="1" applyFont="1" applyFill="1" applyBorder="1" applyAlignment="1" applyProtection="1">
      <alignment horizontal="center" vertical="center" wrapText="1"/>
      <protection hidden="1"/>
    </xf>
    <xf numFmtId="0" fontId="3" fillId="0" borderId="2" xfId="0" applyFont="1" applyBorder="1" applyAlignment="1">
      <alignment horizontal="left" vertical="center" wrapText="1"/>
    </xf>
    <xf numFmtId="9" fontId="0" fillId="11" borderId="0" xfId="2" applyFont="1" applyFill="1" applyProtection="1">
      <alignment vertical="center"/>
      <protection hidden="1"/>
    </xf>
    <xf numFmtId="41" fontId="31" fillId="0" borderId="0" xfId="1" applyFont="1" applyAlignment="1">
      <alignment vertical="top" wrapText="1"/>
    </xf>
    <xf numFmtId="41" fontId="29" fillId="0" borderId="80" xfId="0" applyNumberFormat="1" applyFont="1" applyBorder="1" applyAlignment="1">
      <alignment horizontal="center" vertical="center"/>
    </xf>
    <xf numFmtId="10" fontId="88" fillId="0" borderId="0" xfId="2" applyNumberFormat="1" applyFont="1" applyProtection="1">
      <alignment vertical="center"/>
      <protection hidden="1"/>
    </xf>
    <xf numFmtId="179" fontId="8" fillId="0" borderId="36" xfId="0" applyNumberFormat="1" applyFont="1" applyBorder="1" applyAlignment="1" applyProtection="1">
      <alignment horizontal="center" vertical="center"/>
      <protection hidden="1"/>
    </xf>
    <xf numFmtId="179" fontId="13" fillId="0" borderId="32" xfId="1" applyNumberFormat="1" applyFont="1" applyBorder="1" applyAlignment="1" applyProtection="1">
      <alignment horizontal="center" vertical="center"/>
      <protection hidden="1"/>
    </xf>
    <xf numFmtId="0" fontId="2" fillId="0" borderId="2" xfId="0" applyFont="1" applyBorder="1" applyAlignment="1">
      <alignment horizontal="center" vertical="center" wrapText="1"/>
    </xf>
    <xf numFmtId="9" fontId="87" fillId="0" borderId="51" xfId="2" applyFont="1" applyBorder="1" applyAlignment="1">
      <alignment horizontal="center" vertical="center"/>
    </xf>
    <xf numFmtId="41" fontId="13" fillId="0" borderId="69" xfId="1" applyFont="1" applyFill="1" applyBorder="1" applyAlignment="1" applyProtection="1">
      <alignment horizontal="center" vertical="center"/>
      <protection hidden="1"/>
    </xf>
    <xf numFmtId="41" fontId="13" fillId="0" borderId="36" xfId="1" applyFont="1" applyFill="1" applyBorder="1" applyAlignment="1" applyProtection="1">
      <alignment horizontal="center" vertical="center"/>
      <protection hidden="1"/>
    </xf>
    <xf numFmtId="14" fontId="25" fillId="6" borderId="77" xfId="0" applyNumberFormat="1" applyFont="1" applyFill="1" applyBorder="1" applyAlignment="1" applyProtection="1">
      <alignment horizontal="center" vertical="center"/>
      <protection locked="0"/>
    </xf>
    <xf numFmtId="14" fontId="89" fillId="6" borderId="78" xfId="0" applyNumberFormat="1" applyFont="1" applyFill="1" applyBorder="1" applyProtection="1">
      <alignment vertical="center"/>
      <protection locked="0"/>
    </xf>
    <xf numFmtId="183" fontId="0" fillId="0" borderId="0" xfId="0" applyNumberFormat="1" applyProtection="1">
      <alignment vertical="center"/>
      <protection hidden="1"/>
    </xf>
    <xf numFmtId="49" fontId="79" fillId="11" borderId="0" xfId="0" applyNumberFormat="1" applyFont="1" applyFill="1" applyAlignment="1">
      <alignment horizontal="center" vertical="center"/>
    </xf>
    <xf numFmtId="0" fontId="2" fillId="0" borderId="0" xfId="0" applyFont="1" applyAlignment="1">
      <alignment horizontal="center" vertical="center" wrapText="1"/>
    </xf>
    <xf numFmtId="49" fontId="3" fillId="0" borderId="0" xfId="0" applyNumberFormat="1" applyFont="1" applyAlignment="1">
      <alignment horizontal="right" vertical="center" wrapText="1"/>
    </xf>
    <xf numFmtId="49" fontId="3" fillId="8" borderId="0" xfId="0" applyNumberFormat="1" applyFont="1" applyFill="1" applyAlignment="1">
      <alignment horizontal="right" vertical="center" wrapText="1"/>
    </xf>
    <xf numFmtId="0" fontId="79" fillId="0" borderId="0" xfId="0" applyFont="1" applyAlignment="1">
      <alignment horizontal="center"/>
    </xf>
    <xf numFmtId="0" fontId="2" fillId="11" borderId="94" xfId="0" applyFont="1" applyFill="1" applyBorder="1" applyAlignment="1">
      <alignment horizontal="center" vertical="center" wrapText="1"/>
    </xf>
    <xf numFmtId="49" fontId="3" fillId="11" borderId="94" xfId="0" applyNumberFormat="1" applyFont="1" applyFill="1" applyBorder="1" applyAlignment="1">
      <alignment horizontal="right" vertical="center" wrapText="1"/>
    </xf>
    <xf numFmtId="49" fontId="2" fillId="6" borderId="95" xfId="0" applyNumberFormat="1" applyFont="1" applyFill="1" applyBorder="1" applyAlignment="1">
      <alignment horizontal="center" vertical="center" wrapText="1"/>
    </xf>
    <xf numFmtId="0" fontId="2" fillId="6" borderId="95" xfId="0" applyFont="1" applyFill="1" applyBorder="1" applyAlignment="1">
      <alignment horizontal="center" vertical="center" wrapText="1"/>
    </xf>
    <xf numFmtId="187" fontId="2" fillId="6" borderId="95" xfId="0" applyNumberFormat="1" applyFont="1" applyFill="1" applyBorder="1" applyAlignment="1">
      <alignment horizontal="center" vertical="center" wrapText="1"/>
    </xf>
    <xf numFmtId="49" fontId="3" fillId="6" borderId="95" xfId="0" applyNumberFormat="1" applyFont="1" applyFill="1" applyBorder="1" applyAlignment="1">
      <alignment horizontal="center" vertical="center" wrapText="1"/>
    </xf>
    <xf numFmtId="0" fontId="3" fillId="6" borderId="2" xfId="0" applyFont="1" applyFill="1" applyBorder="1" applyAlignment="1">
      <alignment horizontal="left" vertical="center" wrapText="1"/>
    </xf>
    <xf numFmtId="0" fontId="3" fillId="6" borderId="2" xfId="0" applyFont="1" applyFill="1" applyBorder="1" applyAlignment="1">
      <alignment horizontal="center" vertical="center" wrapText="1"/>
    </xf>
    <xf numFmtId="41" fontId="3" fillId="6" borderId="2" xfId="1" applyFont="1" applyFill="1" applyBorder="1" applyAlignment="1">
      <alignment horizontal="center" vertical="center" wrapText="1"/>
    </xf>
    <xf numFmtId="49" fontId="3" fillId="6" borderId="2" xfId="0" applyNumberFormat="1" applyFont="1" applyFill="1" applyBorder="1" applyAlignment="1">
      <alignment horizontal="right" vertical="center" wrapText="1"/>
    </xf>
    <xf numFmtId="49" fontId="2" fillId="5" borderId="95" xfId="0" applyNumberFormat="1" applyFont="1" applyFill="1" applyBorder="1" applyAlignment="1">
      <alignment horizontal="center" vertical="center" wrapText="1"/>
    </xf>
    <xf numFmtId="0" fontId="2" fillId="5" borderId="95" xfId="0" applyFont="1" applyFill="1" applyBorder="1" applyAlignment="1">
      <alignment horizontal="center" vertical="center" wrapText="1"/>
    </xf>
    <xf numFmtId="187" fontId="2" fillId="5" borderId="95" xfId="0" applyNumberFormat="1" applyFont="1" applyFill="1" applyBorder="1" applyAlignment="1">
      <alignment horizontal="center" vertical="center" wrapText="1"/>
    </xf>
    <xf numFmtId="49" fontId="3" fillId="5" borderId="95" xfId="0" applyNumberFormat="1" applyFont="1"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2" xfId="0" applyFont="1" applyFill="1" applyBorder="1" applyAlignment="1">
      <alignment horizontal="center" vertical="center" wrapText="1"/>
    </xf>
    <xf numFmtId="41" fontId="3" fillId="5" borderId="2" xfId="1" applyFont="1" applyFill="1" applyBorder="1" applyAlignment="1">
      <alignment horizontal="center" vertical="center" wrapText="1"/>
    </xf>
    <xf numFmtId="49" fontId="3" fillId="5" borderId="2" xfId="0" applyNumberFormat="1" applyFont="1" applyFill="1" applyBorder="1" applyAlignment="1">
      <alignment horizontal="right" vertical="center" wrapText="1"/>
    </xf>
    <xf numFmtId="177" fontId="8" fillId="6" borderId="36" xfId="0" applyNumberFormat="1" applyFont="1" applyFill="1" applyBorder="1">
      <alignment vertical="center"/>
    </xf>
    <xf numFmtId="177" fontId="8" fillId="6" borderId="43" xfId="0" applyNumberFormat="1" applyFont="1" applyFill="1" applyBorder="1">
      <alignment vertical="center"/>
    </xf>
    <xf numFmtId="0" fontId="31" fillId="0" borderId="34" xfId="0" applyFont="1" applyBorder="1" applyAlignment="1" applyProtection="1">
      <alignment horizontal="left" vertical="center"/>
      <protection locked="0"/>
    </xf>
    <xf numFmtId="0" fontId="8" fillId="0" borderId="34" xfId="3" applyFont="1" applyBorder="1" applyAlignment="1" applyProtection="1">
      <alignment horizontal="left" vertical="center" shrinkToFit="1"/>
      <protection locked="0"/>
    </xf>
    <xf numFmtId="0" fontId="8" fillId="0" borderId="79" xfId="3" applyFont="1" applyBorder="1" applyAlignment="1" applyProtection="1">
      <alignment horizontal="left" vertical="center" shrinkToFit="1"/>
      <protection hidden="1"/>
    </xf>
    <xf numFmtId="0" fontId="27" fillId="11" borderId="88" xfId="0" applyFont="1" applyFill="1" applyBorder="1" applyAlignment="1" applyProtection="1">
      <alignment horizontal="left" vertical="center"/>
      <protection hidden="1"/>
    </xf>
    <xf numFmtId="0" fontId="27" fillId="11" borderId="84" xfId="0" applyFont="1" applyFill="1" applyBorder="1" applyAlignment="1" applyProtection="1">
      <alignment horizontal="left" vertical="center"/>
      <protection hidden="1"/>
    </xf>
    <xf numFmtId="0" fontId="27" fillId="11" borderId="226" xfId="0" applyFont="1" applyFill="1" applyBorder="1" applyAlignment="1" applyProtection="1">
      <alignment horizontal="left" vertical="center"/>
      <protection hidden="1"/>
    </xf>
    <xf numFmtId="0" fontId="24" fillId="0" borderId="54" xfId="0" applyFont="1" applyBorder="1" applyAlignment="1" applyProtection="1">
      <alignment horizontal="left" vertical="center"/>
      <protection hidden="1"/>
    </xf>
    <xf numFmtId="182" fontId="25" fillId="6" borderId="71" xfId="0" applyNumberFormat="1" applyFont="1" applyFill="1" applyBorder="1" applyAlignment="1" applyProtection="1">
      <alignment horizontal="left" vertical="center"/>
      <protection locked="0"/>
    </xf>
    <xf numFmtId="182" fontId="25" fillId="6" borderId="55" xfId="0" applyNumberFormat="1" applyFont="1" applyFill="1" applyBorder="1" applyAlignment="1" applyProtection="1">
      <alignment horizontal="left" vertical="center"/>
      <protection locked="0"/>
    </xf>
    <xf numFmtId="0" fontId="24" fillId="0" borderId="56" xfId="0" applyFont="1" applyBorder="1" applyAlignment="1" applyProtection="1">
      <alignment horizontal="left" vertical="center"/>
      <protection hidden="1"/>
    </xf>
    <xf numFmtId="0" fontId="25" fillId="6" borderId="71" xfId="0" applyFont="1" applyFill="1" applyBorder="1" applyAlignment="1" applyProtection="1">
      <alignment horizontal="left" vertical="center"/>
      <protection locked="0"/>
    </xf>
    <xf numFmtId="0" fontId="25" fillId="6" borderId="55" xfId="0" applyFont="1" applyFill="1" applyBorder="1" applyAlignment="1" applyProtection="1">
      <alignment horizontal="left" vertical="center"/>
      <protection locked="0"/>
    </xf>
    <xf numFmtId="0" fontId="25" fillId="6" borderId="76" xfId="0" applyFont="1" applyFill="1" applyBorder="1" applyAlignment="1" applyProtection="1">
      <alignment horizontal="left" vertical="center"/>
      <protection locked="0"/>
    </xf>
    <xf numFmtId="0" fontId="24" fillId="0" borderId="44" xfId="0" applyFont="1" applyBorder="1" applyAlignment="1" applyProtection="1">
      <alignment horizontal="left" vertical="center"/>
      <protection hidden="1"/>
    </xf>
    <xf numFmtId="0" fontId="24" fillId="0" borderId="43" xfId="0" applyFont="1" applyBorder="1" applyAlignment="1" applyProtection="1">
      <alignment horizontal="left" vertical="center"/>
      <protection hidden="1"/>
    </xf>
    <xf numFmtId="0" fontId="25" fillId="6" borderId="199" xfId="0" applyFont="1" applyFill="1" applyBorder="1" applyAlignment="1" applyProtection="1">
      <alignment horizontal="left" vertical="center"/>
      <protection locked="0"/>
    </xf>
    <xf numFmtId="0" fontId="25" fillId="6" borderId="42" xfId="0" applyFont="1" applyFill="1" applyBorder="1" applyAlignment="1" applyProtection="1">
      <alignment horizontal="left" vertical="center"/>
      <protection locked="0"/>
    </xf>
    <xf numFmtId="14" fontId="25" fillId="6" borderId="199" xfId="0" applyNumberFormat="1" applyFont="1" applyFill="1" applyBorder="1" applyAlignment="1" applyProtection="1">
      <alignment horizontal="left" vertical="center"/>
      <protection locked="0"/>
    </xf>
    <xf numFmtId="0" fontId="26" fillId="13" borderId="67" xfId="0" applyFont="1" applyFill="1" applyBorder="1" applyAlignment="1" applyProtection="1">
      <alignment horizontal="left" vertical="center"/>
      <protection hidden="1"/>
    </xf>
    <xf numFmtId="182" fontId="25" fillId="9" borderId="22" xfId="0" applyNumberFormat="1" applyFont="1" applyFill="1" applyBorder="1" applyAlignment="1" applyProtection="1">
      <alignment horizontal="left" vertical="center"/>
      <protection hidden="1"/>
    </xf>
    <xf numFmtId="182" fontId="25" fillId="9" borderId="23" xfId="0" applyNumberFormat="1" applyFont="1" applyFill="1" applyBorder="1" applyAlignment="1" applyProtection="1">
      <alignment horizontal="left" vertical="center"/>
      <protection hidden="1"/>
    </xf>
    <xf numFmtId="176" fontId="25" fillId="3" borderId="49" xfId="0" applyNumberFormat="1" applyFont="1" applyFill="1" applyBorder="1" applyAlignment="1" applyProtection="1">
      <alignment horizontal="left" vertical="center"/>
      <protection hidden="1"/>
    </xf>
    <xf numFmtId="182" fontId="25" fillId="16" borderId="22" xfId="0" applyNumberFormat="1" applyFont="1" applyFill="1" applyBorder="1" applyAlignment="1" applyProtection="1">
      <alignment horizontal="left" vertical="center"/>
      <protection hidden="1"/>
    </xf>
    <xf numFmtId="182" fontId="25" fillId="16" borderId="23" xfId="0" applyNumberFormat="1" applyFont="1" applyFill="1" applyBorder="1" applyAlignment="1" applyProtection="1">
      <alignment horizontal="left" vertical="center"/>
      <protection hidden="1"/>
    </xf>
    <xf numFmtId="176" fontId="25" fillId="2" borderId="22" xfId="0" applyNumberFormat="1" applyFont="1" applyFill="1" applyBorder="1" applyAlignment="1" applyProtection="1">
      <alignment horizontal="left" vertical="center"/>
      <protection hidden="1"/>
    </xf>
    <xf numFmtId="0" fontId="26" fillId="13" borderId="86" xfId="0" applyFont="1" applyFill="1" applyBorder="1" applyAlignment="1" applyProtection="1">
      <alignment horizontal="left" vertical="center"/>
      <protection hidden="1"/>
    </xf>
    <xf numFmtId="0" fontId="26" fillId="13" borderId="87" xfId="0" applyFont="1" applyFill="1" applyBorder="1" applyAlignment="1" applyProtection="1">
      <alignment horizontal="left" vertical="center"/>
      <protection hidden="1"/>
    </xf>
    <xf numFmtId="0" fontId="27" fillId="0" borderId="79" xfId="0" applyFont="1" applyBorder="1" applyAlignment="1" applyProtection="1">
      <alignment horizontal="left" vertical="center"/>
      <protection hidden="1"/>
    </xf>
    <xf numFmtId="0" fontId="27" fillId="0" borderId="80" xfId="0" applyFont="1" applyBorder="1" applyAlignment="1" applyProtection="1">
      <alignment horizontal="left" vertical="center"/>
      <protection hidden="1"/>
    </xf>
    <xf numFmtId="0" fontId="27" fillId="0" borderId="76" xfId="0" applyFont="1" applyBorder="1" applyAlignment="1" applyProtection="1">
      <alignment horizontal="left" vertical="center"/>
      <protection hidden="1"/>
    </xf>
    <xf numFmtId="0" fontId="27" fillId="0" borderId="22" xfId="0" applyFont="1" applyBorder="1" applyAlignment="1" applyProtection="1">
      <alignment horizontal="left" vertical="center"/>
      <protection hidden="1"/>
    </xf>
    <xf numFmtId="0" fontId="27" fillId="0" borderId="23" xfId="0" applyFont="1" applyBorder="1" applyAlignment="1" applyProtection="1">
      <alignment horizontal="left" vertical="center"/>
      <protection hidden="1"/>
    </xf>
    <xf numFmtId="0" fontId="27" fillId="0" borderId="87" xfId="0" applyFont="1" applyBorder="1" applyAlignment="1" applyProtection="1">
      <alignment horizontal="left" vertical="center"/>
      <protection hidden="1"/>
    </xf>
    <xf numFmtId="0" fontId="27" fillId="0" borderId="64" xfId="0" applyFont="1" applyBorder="1" applyAlignment="1" applyProtection="1">
      <alignment horizontal="left" vertical="center"/>
      <protection hidden="1"/>
    </xf>
    <xf numFmtId="184" fontId="27" fillId="6" borderId="29" xfId="0" applyNumberFormat="1" applyFont="1" applyFill="1" applyBorder="1" applyAlignment="1" applyProtection="1">
      <alignment horizontal="left" vertical="center"/>
      <protection locked="0"/>
    </xf>
    <xf numFmtId="186" fontId="27" fillId="6" borderId="59" xfId="0" applyNumberFormat="1" applyFont="1" applyFill="1" applyBorder="1" applyAlignment="1" applyProtection="1">
      <alignment horizontal="left" vertical="center"/>
      <protection locked="0"/>
    </xf>
    <xf numFmtId="0" fontId="25" fillId="9" borderId="48" xfId="0" applyFont="1" applyFill="1" applyBorder="1" applyAlignment="1" applyProtection="1">
      <alignment horizontal="left" vertical="center"/>
      <protection hidden="1"/>
    </xf>
    <xf numFmtId="0" fontId="28" fillId="3" borderId="74" xfId="0" applyFont="1" applyFill="1" applyBorder="1" applyAlignment="1" applyProtection="1">
      <alignment horizontal="left" vertical="center"/>
      <protection hidden="1"/>
    </xf>
    <xf numFmtId="0" fontId="25" fillId="16" borderId="48" xfId="0" applyFont="1" applyFill="1" applyBorder="1" applyAlignment="1" applyProtection="1">
      <alignment horizontal="left" vertical="center"/>
      <protection hidden="1"/>
    </xf>
    <xf numFmtId="0" fontId="28" fillId="2" borderId="74" xfId="0" applyFont="1" applyFill="1" applyBorder="1" applyAlignment="1" applyProtection="1">
      <alignment horizontal="left" vertical="center"/>
      <protection hidden="1"/>
    </xf>
    <xf numFmtId="49" fontId="41" fillId="12" borderId="48" xfId="0" applyNumberFormat="1" applyFont="1" applyFill="1" applyBorder="1" applyAlignment="1" applyProtection="1">
      <alignment horizontal="left" vertical="center"/>
      <protection hidden="1"/>
    </xf>
    <xf numFmtId="0" fontId="28" fillId="4" borderId="74" xfId="0" applyFont="1" applyFill="1" applyBorder="1" applyAlignment="1" applyProtection="1">
      <alignment horizontal="left" vertical="center"/>
      <protection hidden="1"/>
    </xf>
    <xf numFmtId="186" fontId="27" fillId="6" borderId="32" xfId="0" applyNumberFormat="1" applyFont="1" applyFill="1" applyBorder="1" applyAlignment="1" applyProtection="1">
      <alignment horizontal="left" vertical="center"/>
      <protection locked="0"/>
    </xf>
    <xf numFmtId="0" fontId="0" fillId="0" borderId="79" xfId="0" applyBorder="1" applyAlignment="1" applyProtection="1">
      <alignment horizontal="left" vertical="center"/>
      <protection hidden="1"/>
    </xf>
    <xf numFmtId="0" fontId="0" fillId="0" borderId="55" xfId="0" applyBorder="1" applyAlignment="1" applyProtection="1">
      <alignment horizontal="left" vertical="center"/>
      <protection hidden="1"/>
    </xf>
    <xf numFmtId="0" fontId="28" fillId="6" borderId="71" xfId="0" applyFont="1" applyFill="1" applyBorder="1" applyAlignment="1" applyProtection="1">
      <alignment horizontal="left" vertical="center"/>
      <protection hidden="1"/>
    </xf>
    <xf numFmtId="0" fontId="28" fillId="6" borderId="80" xfId="0" applyFont="1" applyFill="1" applyBorder="1" applyAlignment="1" applyProtection="1">
      <alignment horizontal="left" vertical="center"/>
      <protection hidden="1"/>
    </xf>
    <xf numFmtId="0" fontId="28" fillId="6" borderId="76" xfId="0" applyFont="1" applyFill="1" applyBorder="1" applyAlignment="1" applyProtection="1">
      <alignment horizontal="left" vertical="center"/>
      <protection hidden="1"/>
    </xf>
    <xf numFmtId="0" fontId="25" fillId="10" borderId="26" xfId="0" applyFont="1" applyFill="1" applyBorder="1" applyAlignment="1" applyProtection="1">
      <alignment horizontal="left" vertical="center"/>
      <protection hidden="1"/>
    </xf>
    <xf numFmtId="0" fontId="26" fillId="13" borderId="82" xfId="0" applyFont="1" applyFill="1" applyBorder="1" applyAlignment="1" applyProtection="1">
      <alignment horizontal="left" vertical="center"/>
      <protection hidden="1"/>
    </xf>
    <xf numFmtId="0" fontId="26" fillId="13" borderId="0" xfId="0" applyFont="1" applyFill="1" applyAlignment="1" applyProtection="1">
      <alignment horizontal="left" vertical="center"/>
      <protection hidden="1"/>
    </xf>
    <xf numFmtId="184" fontId="27" fillId="6" borderId="90" xfId="0" applyNumberFormat="1" applyFont="1" applyFill="1" applyBorder="1" applyAlignment="1" applyProtection="1">
      <alignment horizontal="left" vertical="center"/>
      <protection locked="0"/>
    </xf>
    <xf numFmtId="186" fontId="27" fillId="6" borderId="47" xfId="0" applyNumberFormat="1" applyFont="1" applyFill="1" applyBorder="1" applyAlignment="1" applyProtection="1">
      <alignment horizontal="left" vertical="center"/>
      <protection locked="0"/>
    </xf>
    <xf numFmtId="0" fontId="30" fillId="9" borderId="23" xfId="0" applyFont="1" applyFill="1" applyBorder="1" applyAlignment="1" applyProtection="1">
      <alignment horizontal="left" vertical="center"/>
      <protection hidden="1"/>
    </xf>
    <xf numFmtId="0" fontId="30" fillId="9" borderId="23" xfId="0" applyFont="1" applyFill="1" applyBorder="1" applyAlignment="1" applyProtection="1">
      <alignment horizontal="left" vertical="center" shrinkToFit="1"/>
      <protection hidden="1"/>
    </xf>
    <xf numFmtId="0" fontId="30" fillId="9" borderId="24" xfId="0" applyFont="1" applyFill="1" applyBorder="1" applyAlignment="1" applyProtection="1">
      <alignment horizontal="left" vertical="center" shrinkToFit="1"/>
      <protection hidden="1"/>
    </xf>
    <xf numFmtId="0" fontId="25" fillId="0" borderId="20" xfId="0" applyFont="1" applyBorder="1" applyAlignment="1" applyProtection="1">
      <alignment horizontal="left" vertical="center"/>
      <protection hidden="1"/>
    </xf>
    <xf numFmtId="41" fontId="25" fillId="0" borderId="18" xfId="0" applyNumberFormat="1" applyFont="1" applyBorder="1" applyAlignment="1" applyProtection="1">
      <alignment horizontal="left" vertical="center"/>
      <protection hidden="1"/>
    </xf>
    <xf numFmtId="0" fontId="25" fillId="0" borderId="17" xfId="0" applyFont="1" applyBorder="1" applyAlignment="1" applyProtection="1">
      <alignment horizontal="left" vertical="center"/>
      <protection hidden="1"/>
    </xf>
    <xf numFmtId="41" fontId="25" fillId="0" borderId="75" xfId="0" applyNumberFormat="1" applyFont="1" applyBorder="1" applyAlignment="1" applyProtection="1">
      <alignment horizontal="left" vertical="center"/>
      <protection hidden="1"/>
    </xf>
    <xf numFmtId="41" fontId="25" fillId="0" borderId="19" xfId="0" applyNumberFormat="1" applyFont="1" applyBorder="1" applyAlignment="1" applyProtection="1">
      <alignment horizontal="left" vertical="center"/>
      <protection hidden="1"/>
    </xf>
    <xf numFmtId="0" fontId="31" fillId="0" borderId="28" xfId="0" applyFont="1" applyBorder="1" applyAlignment="1" applyProtection="1">
      <alignment horizontal="left" vertical="center"/>
      <protection locked="0"/>
    </xf>
    <xf numFmtId="41" fontId="25" fillId="0" borderId="25" xfId="0" applyNumberFormat="1" applyFont="1" applyBorder="1" applyAlignment="1" applyProtection="1">
      <alignment horizontal="left" vertical="center"/>
      <protection locked="0"/>
    </xf>
    <xf numFmtId="0" fontId="31" fillId="0" borderId="54" xfId="0" applyFont="1" applyBorder="1" applyAlignment="1" applyProtection="1">
      <alignment horizontal="left" vertical="center"/>
      <protection locked="0"/>
    </xf>
    <xf numFmtId="0" fontId="31" fillId="0" borderId="35" xfId="0" applyFont="1" applyBorder="1" applyAlignment="1" applyProtection="1">
      <alignment horizontal="left" vertical="center"/>
      <protection locked="0"/>
    </xf>
    <xf numFmtId="181" fontId="33" fillId="0" borderId="222" xfId="0" applyNumberFormat="1" applyFont="1" applyBorder="1" applyAlignment="1" applyProtection="1">
      <alignment horizontal="left" vertical="center"/>
      <protection locked="0"/>
    </xf>
    <xf numFmtId="0" fontId="31" fillId="3" borderId="35" xfId="0" applyFont="1" applyFill="1" applyBorder="1" applyAlignment="1" applyProtection="1">
      <alignment horizontal="left" vertical="center"/>
      <protection locked="0"/>
    </xf>
    <xf numFmtId="41" fontId="31" fillId="3" borderId="32" xfId="1" applyFont="1" applyFill="1" applyBorder="1" applyAlignment="1" applyProtection="1">
      <alignment horizontal="left" vertical="center"/>
      <protection locked="0"/>
    </xf>
    <xf numFmtId="181" fontId="33" fillId="3" borderId="40" xfId="0" applyNumberFormat="1" applyFont="1" applyFill="1" applyBorder="1" applyAlignment="1" applyProtection="1">
      <alignment horizontal="left" vertical="center"/>
      <protection locked="0"/>
    </xf>
    <xf numFmtId="0" fontId="25" fillId="0" borderId="50" xfId="0" applyFont="1" applyBorder="1" applyAlignment="1" applyProtection="1">
      <alignment horizontal="left" vertical="center"/>
      <protection hidden="1"/>
    </xf>
    <xf numFmtId="41" fontId="25" fillId="0" borderId="74" xfId="0" applyNumberFormat="1" applyFont="1" applyBorder="1" applyAlignment="1" applyProtection="1">
      <alignment horizontal="left" vertical="center"/>
      <protection hidden="1"/>
    </xf>
    <xf numFmtId="0" fontId="25" fillId="0" borderId="48" xfId="0" applyFont="1" applyBorder="1" applyAlignment="1" applyProtection="1">
      <alignment horizontal="left" vertical="center"/>
      <protection hidden="1"/>
    </xf>
    <xf numFmtId="0" fontId="0" fillId="13" borderId="23" xfId="0" applyFill="1" applyBorder="1" applyAlignment="1" applyProtection="1">
      <alignment horizontal="left" vertical="center"/>
      <protection hidden="1"/>
    </xf>
    <xf numFmtId="0" fontId="0" fillId="13" borderId="24" xfId="0" applyFill="1" applyBorder="1" applyAlignment="1" applyProtection="1">
      <alignment horizontal="left" vertical="center"/>
      <protection hidden="1"/>
    </xf>
    <xf numFmtId="0" fontId="25" fillId="0" borderId="22" xfId="0" applyFont="1" applyBorder="1" applyAlignment="1" applyProtection="1">
      <alignment horizontal="left" vertical="center"/>
      <protection hidden="1"/>
    </xf>
    <xf numFmtId="0" fontId="25" fillId="0" borderId="23" xfId="0" applyFont="1" applyBorder="1" applyAlignment="1" applyProtection="1">
      <alignment horizontal="left" vertical="center"/>
      <protection hidden="1"/>
    </xf>
    <xf numFmtId="9" fontId="25" fillId="9" borderId="49" xfId="0" applyNumberFormat="1" applyFont="1" applyFill="1" applyBorder="1" applyAlignment="1" applyProtection="1">
      <alignment horizontal="left" vertical="center"/>
      <protection hidden="1"/>
    </xf>
    <xf numFmtId="41" fontId="25" fillId="0" borderId="22" xfId="0" applyNumberFormat="1" applyFont="1" applyBorder="1" applyAlignment="1" applyProtection="1">
      <alignment horizontal="left" vertical="center"/>
      <protection hidden="1"/>
    </xf>
    <xf numFmtId="41" fontId="25" fillId="0" borderId="49" xfId="0" applyNumberFormat="1" applyFont="1" applyBorder="1" applyAlignment="1" applyProtection="1">
      <alignment horizontal="left" vertical="center"/>
      <protection hidden="1"/>
    </xf>
    <xf numFmtId="41" fontId="25" fillId="8" borderId="25" xfId="0" applyNumberFormat="1" applyFont="1" applyFill="1" applyBorder="1" applyAlignment="1" applyProtection="1">
      <alignment horizontal="left" vertical="center"/>
      <protection hidden="1"/>
    </xf>
    <xf numFmtId="0" fontId="25" fillId="11" borderId="22" xfId="0" applyFont="1" applyFill="1" applyBorder="1" applyAlignment="1" applyProtection="1">
      <alignment horizontal="left" vertical="center"/>
      <protection hidden="1"/>
    </xf>
    <xf numFmtId="41" fontId="25" fillId="0" borderId="25" xfId="0" applyNumberFormat="1" applyFont="1" applyBorder="1" applyAlignment="1" applyProtection="1">
      <alignment horizontal="left" vertical="center"/>
      <protection hidden="1"/>
    </xf>
    <xf numFmtId="41" fontId="25" fillId="0" borderId="71" xfId="0" applyNumberFormat="1" applyFont="1" applyBorder="1" applyAlignment="1" applyProtection="1">
      <alignment horizontal="left" vertical="center"/>
      <protection hidden="1"/>
    </xf>
    <xf numFmtId="41" fontId="25" fillId="0" borderId="52" xfId="0" applyNumberFormat="1" applyFont="1" applyBorder="1" applyAlignment="1" applyProtection="1">
      <alignment horizontal="left" vertical="center"/>
      <protection hidden="1"/>
    </xf>
    <xf numFmtId="41" fontId="24" fillId="0" borderId="30" xfId="1" applyFont="1" applyFill="1" applyBorder="1" applyAlignment="1" applyProtection="1">
      <alignment horizontal="left" vertical="center"/>
      <protection hidden="1"/>
    </xf>
    <xf numFmtId="176" fontId="33" fillId="0" borderId="26" xfId="0" applyNumberFormat="1" applyFont="1" applyBorder="1" applyAlignment="1" applyProtection="1">
      <alignment horizontal="left" vertical="center"/>
      <protection hidden="1"/>
    </xf>
    <xf numFmtId="41" fontId="31" fillId="3" borderId="41" xfId="1" applyFont="1" applyFill="1" applyBorder="1" applyAlignment="1" applyProtection="1">
      <alignment horizontal="left" vertical="center"/>
      <protection locked="0"/>
    </xf>
    <xf numFmtId="176" fontId="33" fillId="3" borderId="40" xfId="0" applyNumberFormat="1" applyFont="1" applyFill="1" applyBorder="1" applyAlignment="1" applyProtection="1">
      <alignment horizontal="left" vertical="center"/>
      <protection locked="0"/>
    </xf>
    <xf numFmtId="181" fontId="33" fillId="0" borderId="222" xfId="0" applyNumberFormat="1" applyFont="1" applyBorder="1" applyAlignment="1" applyProtection="1">
      <alignment horizontal="left" vertical="center"/>
      <protection hidden="1"/>
    </xf>
    <xf numFmtId="0" fontId="0" fillId="13" borderId="22" xfId="0" applyFill="1" applyBorder="1" applyAlignment="1" applyProtection="1">
      <alignment horizontal="left" vertical="center"/>
      <protection hidden="1"/>
    </xf>
    <xf numFmtId="0" fontId="25" fillId="12" borderId="22" xfId="0" applyFont="1" applyFill="1" applyBorder="1" applyAlignment="1" applyProtection="1">
      <alignment horizontal="left" vertical="center"/>
      <protection hidden="1"/>
    </xf>
    <xf numFmtId="0" fontId="25" fillId="12" borderId="23" xfId="0" applyFont="1" applyFill="1" applyBorder="1" applyAlignment="1" applyProtection="1">
      <alignment horizontal="left" vertical="center"/>
      <protection hidden="1"/>
    </xf>
    <xf numFmtId="0" fontId="25" fillId="12" borderId="24" xfId="0" applyFont="1" applyFill="1" applyBorder="1" applyAlignment="1" applyProtection="1">
      <alignment horizontal="left" vertical="center"/>
      <protection hidden="1"/>
    </xf>
    <xf numFmtId="0" fontId="30" fillId="16" borderId="22" xfId="0" applyFont="1" applyFill="1" applyBorder="1" applyAlignment="1" applyProtection="1">
      <alignment horizontal="left" vertical="center" shrinkToFit="1"/>
      <protection hidden="1"/>
    </xf>
    <xf numFmtId="0" fontId="30" fillId="16" borderId="23" xfId="0" applyFont="1" applyFill="1" applyBorder="1" applyAlignment="1" applyProtection="1">
      <alignment horizontal="left" vertical="center" shrinkToFit="1"/>
      <protection hidden="1"/>
    </xf>
    <xf numFmtId="0" fontId="30" fillId="16" borderId="24" xfId="0" applyFont="1" applyFill="1" applyBorder="1" applyAlignment="1" applyProtection="1">
      <alignment horizontal="left" vertical="center" shrinkToFit="1"/>
      <protection hidden="1"/>
    </xf>
    <xf numFmtId="41" fontId="25" fillId="8" borderId="25" xfId="0" applyNumberFormat="1" applyFont="1" applyFill="1" applyBorder="1" applyAlignment="1" applyProtection="1">
      <alignment horizontal="left" vertical="center"/>
      <protection locked="0"/>
    </xf>
    <xf numFmtId="181" fontId="33" fillId="4" borderId="40" xfId="0" applyNumberFormat="1" applyFont="1" applyFill="1" applyBorder="1" applyAlignment="1" applyProtection="1">
      <alignment horizontal="left" vertical="center"/>
      <protection locked="0"/>
    </xf>
    <xf numFmtId="0" fontId="31" fillId="4" borderId="35" xfId="0" applyFont="1" applyFill="1" applyBorder="1" applyAlignment="1" applyProtection="1">
      <alignment horizontal="left" vertical="center"/>
      <protection locked="0"/>
    </xf>
    <xf numFmtId="41" fontId="31" fillId="4" borderId="32" xfId="1" applyFont="1" applyFill="1" applyBorder="1" applyAlignment="1" applyProtection="1">
      <alignment horizontal="left" vertical="center"/>
      <protection locked="0"/>
    </xf>
    <xf numFmtId="0" fontId="31" fillId="2" borderId="34" xfId="0" applyFont="1" applyFill="1" applyBorder="1" applyAlignment="1" applyProtection="1">
      <alignment horizontal="left" vertical="center"/>
      <protection locked="0"/>
    </xf>
    <xf numFmtId="41" fontId="31" fillId="2" borderId="32" xfId="1" applyFont="1" applyFill="1" applyBorder="1" applyAlignment="1" applyProtection="1">
      <alignment horizontal="left" vertical="center"/>
      <protection locked="0"/>
    </xf>
    <xf numFmtId="0" fontId="31" fillId="2" borderId="57" xfId="0" applyFont="1" applyFill="1" applyBorder="1" applyAlignment="1" applyProtection="1">
      <alignment horizontal="left" vertical="center"/>
      <protection locked="0"/>
    </xf>
    <xf numFmtId="41" fontId="31" fillId="2" borderId="47" xfId="1" applyFont="1" applyFill="1" applyBorder="1" applyAlignment="1" applyProtection="1">
      <alignment horizontal="left" vertical="center"/>
      <protection locked="0"/>
    </xf>
    <xf numFmtId="41" fontId="31" fillId="2" borderId="77" xfId="1" applyFont="1" applyFill="1" applyBorder="1" applyAlignment="1" applyProtection="1">
      <alignment horizontal="left" vertical="center"/>
      <protection locked="0"/>
    </xf>
    <xf numFmtId="181" fontId="33" fillId="4" borderId="45" xfId="0" applyNumberFormat="1" applyFont="1" applyFill="1" applyBorder="1" applyAlignment="1" applyProtection="1">
      <alignment horizontal="left" vertical="center"/>
      <protection locked="0"/>
    </xf>
    <xf numFmtId="0" fontId="0" fillId="13" borderId="86" xfId="0" applyFill="1" applyBorder="1" applyAlignment="1" applyProtection="1">
      <alignment horizontal="left" vertical="center"/>
      <protection hidden="1"/>
    </xf>
    <xf numFmtId="0" fontId="0" fillId="13" borderId="87" xfId="0" applyFill="1" applyBorder="1" applyAlignment="1" applyProtection="1">
      <alignment horizontal="left" vertical="center"/>
      <protection hidden="1"/>
    </xf>
    <xf numFmtId="0" fontId="31" fillId="4" borderId="57" xfId="0" applyFont="1" applyFill="1" applyBorder="1" applyAlignment="1" applyProtection="1">
      <alignment horizontal="left" vertical="center"/>
      <protection locked="0"/>
    </xf>
    <xf numFmtId="41" fontId="31" fillId="4" borderId="47" xfId="1" applyFont="1" applyFill="1" applyBorder="1" applyAlignment="1" applyProtection="1">
      <alignment horizontal="left" vertical="center"/>
      <protection locked="0"/>
    </xf>
    <xf numFmtId="181" fontId="33" fillId="4" borderId="46" xfId="0" applyNumberFormat="1" applyFont="1" applyFill="1" applyBorder="1" applyAlignment="1" applyProtection="1">
      <alignment horizontal="left" vertical="center"/>
      <protection locked="0"/>
    </xf>
    <xf numFmtId="0" fontId="26" fillId="0" borderId="22" xfId="0" applyFont="1" applyBorder="1" applyAlignment="1" applyProtection="1">
      <alignment horizontal="left" vertical="center"/>
      <protection hidden="1"/>
    </xf>
    <xf numFmtId="0" fontId="26" fillId="0" borderId="23" xfId="0" applyFont="1" applyBorder="1" applyAlignment="1" applyProtection="1">
      <alignment horizontal="left" vertical="center"/>
      <protection hidden="1"/>
    </xf>
    <xf numFmtId="0" fontId="26" fillId="0" borderId="24" xfId="0" applyFont="1" applyBorder="1" applyAlignment="1" applyProtection="1">
      <alignment horizontal="left" vertical="center"/>
      <protection hidden="1"/>
    </xf>
    <xf numFmtId="9" fontId="25" fillId="9" borderId="49" xfId="2" applyFont="1" applyFill="1" applyBorder="1" applyAlignment="1" applyProtection="1">
      <alignment horizontal="left" vertical="center"/>
      <protection locked="0"/>
    </xf>
    <xf numFmtId="41" fontId="25" fillId="0" borderId="24" xfId="0" applyNumberFormat="1" applyFont="1" applyBorder="1" applyAlignment="1" applyProtection="1">
      <alignment horizontal="left" vertical="center"/>
      <protection hidden="1"/>
    </xf>
    <xf numFmtId="41" fontId="24" fillId="0" borderId="79" xfId="0" applyNumberFormat="1" applyFont="1" applyBorder="1" applyAlignment="1" applyProtection="1">
      <alignment horizontal="left" vertical="center"/>
      <protection locked="0"/>
    </xf>
    <xf numFmtId="41" fontId="24" fillId="0" borderId="76" xfId="0" applyNumberFormat="1" applyFont="1" applyBorder="1" applyAlignment="1" applyProtection="1">
      <alignment horizontal="left" vertical="center"/>
      <protection locked="0"/>
    </xf>
    <xf numFmtId="41" fontId="24" fillId="3" borderId="83" xfId="0" applyNumberFormat="1" applyFont="1" applyFill="1" applyBorder="1" applyAlignment="1" applyProtection="1">
      <alignment horizontal="left" vertical="center"/>
      <protection locked="0"/>
    </xf>
    <xf numFmtId="41" fontId="24" fillId="3" borderId="78" xfId="0" applyNumberFormat="1" applyFont="1" applyFill="1" applyBorder="1" applyAlignment="1" applyProtection="1">
      <alignment horizontal="left" vertical="center"/>
      <protection locked="0"/>
    </xf>
    <xf numFmtId="14" fontId="25" fillId="6" borderId="42" xfId="0" applyNumberFormat="1" applyFont="1" applyFill="1" applyBorder="1" applyAlignment="1" applyProtection="1">
      <alignment horizontal="left" vertical="center"/>
      <protection locked="0"/>
    </xf>
    <xf numFmtId="41" fontId="25" fillId="0" borderId="71" xfId="0" applyNumberFormat="1" applyFont="1" applyBorder="1" applyProtection="1">
      <alignment vertical="center"/>
      <protection locked="0"/>
    </xf>
    <xf numFmtId="0" fontId="25" fillId="11" borderId="79" xfId="0" applyFont="1" applyFill="1" applyBorder="1" applyProtection="1">
      <alignment vertical="center"/>
      <protection hidden="1"/>
    </xf>
    <xf numFmtId="0" fontId="25" fillId="0" borderId="54" xfId="0" applyFont="1" applyBorder="1" applyProtection="1">
      <alignment vertical="center"/>
      <protection hidden="1"/>
    </xf>
    <xf numFmtId="41" fontId="24" fillId="11" borderId="25" xfId="1" applyFont="1" applyFill="1" applyBorder="1" applyProtection="1">
      <alignment vertical="center"/>
      <protection hidden="1"/>
    </xf>
    <xf numFmtId="41" fontId="25" fillId="0" borderId="74" xfId="1" applyFont="1" applyFill="1" applyBorder="1" applyProtection="1">
      <alignment vertical="center"/>
      <protection hidden="1"/>
    </xf>
    <xf numFmtId="41" fontId="25" fillId="8" borderId="25" xfId="1" applyFont="1" applyFill="1" applyBorder="1" applyProtection="1">
      <alignment vertical="center"/>
      <protection hidden="1"/>
    </xf>
    <xf numFmtId="41" fontId="31" fillId="3" borderId="81" xfId="1" applyFont="1" applyFill="1" applyBorder="1" applyProtection="1">
      <alignment vertical="center"/>
      <protection locked="0"/>
    </xf>
    <xf numFmtId="41" fontId="31" fillId="3" borderId="78" xfId="1" applyFont="1" applyFill="1" applyBorder="1" applyProtection="1">
      <alignment vertical="center"/>
      <protection locked="0"/>
    </xf>
    <xf numFmtId="41" fontId="25" fillId="0" borderId="52" xfId="1" applyFont="1" applyFill="1" applyBorder="1" applyProtection="1">
      <alignment vertical="center"/>
      <protection hidden="1"/>
    </xf>
    <xf numFmtId="41" fontId="25" fillId="0" borderId="25" xfId="1" applyFont="1" applyFill="1" applyBorder="1" applyProtection="1">
      <alignment vertical="center"/>
      <protection hidden="1"/>
    </xf>
    <xf numFmtId="41" fontId="25" fillId="0" borderId="32" xfId="1" applyFont="1" applyBorder="1" applyAlignment="1" applyProtection="1">
      <alignment vertical="center"/>
      <protection hidden="1"/>
    </xf>
    <xf numFmtId="41" fontId="25" fillId="0" borderId="32" xfId="1" applyFont="1" applyBorder="1" applyProtection="1">
      <alignment vertical="center"/>
      <protection hidden="1"/>
    </xf>
    <xf numFmtId="41" fontId="25" fillId="0" borderId="25" xfId="1" applyFont="1" applyBorder="1" applyProtection="1">
      <alignment vertical="center"/>
      <protection hidden="1"/>
    </xf>
    <xf numFmtId="41" fontId="25" fillId="8" borderId="25" xfId="1" applyFont="1" applyFill="1" applyBorder="1" applyProtection="1">
      <alignment vertical="center"/>
      <protection locked="0"/>
    </xf>
    <xf numFmtId="41" fontId="31" fillId="2" borderId="81" xfId="1" applyFont="1" applyFill="1" applyBorder="1" applyProtection="1">
      <alignment vertical="center"/>
      <protection locked="0"/>
    </xf>
    <xf numFmtId="41" fontId="31" fillId="4" borderId="78" xfId="1" applyFont="1" applyFill="1" applyBorder="1" applyProtection="1">
      <alignment vertical="center"/>
      <protection locked="0"/>
    </xf>
    <xf numFmtId="41" fontId="25" fillId="8" borderId="59" xfId="1" applyFont="1" applyFill="1" applyBorder="1" applyProtection="1">
      <alignment vertical="center"/>
      <protection locked="0"/>
    </xf>
    <xf numFmtId="0" fontId="26" fillId="6" borderId="25" xfId="0" applyFont="1" applyFill="1" applyBorder="1" applyAlignment="1" applyProtection="1">
      <alignment horizontal="center" vertical="center"/>
      <protection hidden="1"/>
    </xf>
    <xf numFmtId="14" fontId="60" fillId="8" borderId="0" xfId="8" applyNumberFormat="1" applyFont="1" applyFill="1" applyAlignment="1" applyProtection="1">
      <alignment horizontal="left" vertical="center" wrapText="1"/>
      <protection hidden="1"/>
    </xf>
    <xf numFmtId="14" fontId="60" fillId="8" borderId="0" xfId="8" applyNumberFormat="1" applyFont="1" applyFill="1" applyAlignment="1" applyProtection="1">
      <alignment vertical="center" wrapText="1"/>
      <protection hidden="1"/>
    </xf>
    <xf numFmtId="14" fontId="60" fillId="8" borderId="194" xfId="8" applyNumberFormat="1" applyFont="1" applyFill="1" applyBorder="1" applyAlignment="1" applyProtection="1">
      <alignment vertical="center" wrapText="1"/>
      <protection hidden="1"/>
    </xf>
    <xf numFmtId="14" fontId="60" fillId="8" borderId="0" xfId="8" applyNumberFormat="1" applyFont="1" applyFill="1" applyAlignment="1" applyProtection="1">
      <alignment horizontal="center" vertical="center" wrapText="1"/>
      <protection hidden="1"/>
    </xf>
    <xf numFmtId="177" fontId="60" fillId="8" borderId="0" xfId="8" applyNumberFormat="1" applyFont="1" applyFill="1" applyAlignment="1" applyProtection="1">
      <alignment vertical="center" wrapText="1"/>
      <protection hidden="1"/>
    </xf>
    <xf numFmtId="177" fontId="60" fillId="8" borderId="194" xfId="8" applyNumberFormat="1" applyFont="1" applyFill="1" applyBorder="1" applyAlignment="1" applyProtection="1">
      <alignment vertical="center" wrapText="1"/>
      <protection hidden="1"/>
    </xf>
    <xf numFmtId="177" fontId="60" fillId="8" borderId="0" xfId="8" applyNumberFormat="1" applyFont="1" applyFill="1" applyAlignment="1" applyProtection="1">
      <alignment horizontal="center" vertical="center" wrapText="1"/>
      <protection hidden="1"/>
    </xf>
    <xf numFmtId="177" fontId="60" fillId="11" borderId="145" xfId="8" applyNumberFormat="1" applyFont="1" applyFill="1" applyBorder="1" applyAlignment="1" applyProtection="1">
      <alignment vertical="center" wrapText="1"/>
      <protection hidden="1"/>
    </xf>
    <xf numFmtId="177" fontId="60" fillId="11" borderId="146" xfId="8" applyNumberFormat="1" applyFont="1" applyFill="1" applyBorder="1" applyAlignment="1" applyProtection="1">
      <alignment vertical="center" wrapText="1"/>
      <protection hidden="1"/>
    </xf>
    <xf numFmtId="14" fontId="41" fillId="6" borderId="225" xfId="0" applyNumberFormat="1" applyFont="1" applyFill="1" applyBorder="1" applyAlignment="1" applyProtection="1">
      <alignment horizontal="left" vertical="center"/>
      <protection locked="0"/>
    </xf>
    <xf numFmtId="14" fontId="25" fillId="6" borderId="77" xfId="0" applyNumberFormat="1" applyFont="1" applyFill="1" applyBorder="1" applyAlignment="1">
      <alignment horizontal="center" vertical="center"/>
    </xf>
    <xf numFmtId="0" fontId="8" fillId="0" borderId="57" xfId="0" applyFont="1" applyBorder="1" applyAlignment="1" applyProtection="1">
      <alignment horizontal="left" vertical="center" shrinkToFit="1"/>
      <protection hidden="1"/>
    </xf>
    <xf numFmtId="0" fontId="26" fillId="6" borderId="77" xfId="0" applyFont="1" applyFill="1" applyBorder="1" applyAlignment="1" applyProtection="1">
      <alignment horizontal="left" vertical="center"/>
      <protection locked="0"/>
    </xf>
    <xf numFmtId="0" fontId="26" fillId="6" borderId="78" xfId="0" applyFont="1" applyFill="1" applyBorder="1" applyAlignment="1" applyProtection="1">
      <alignment horizontal="left" vertical="center"/>
      <protection locked="0"/>
    </xf>
    <xf numFmtId="0" fontId="24" fillId="0" borderId="58" xfId="0" applyFont="1" applyBorder="1" applyAlignment="1" applyProtection="1">
      <alignment horizontal="left" vertical="center"/>
      <protection hidden="1"/>
    </xf>
    <xf numFmtId="0" fontId="24" fillId="0" borderId="34" xfId="0" applyFont="1" applyBorder="1" applyAlignment="1" applyProtection="1">
      <alignment horizontal="left" vertical="center"/>
      <protection hidden="1"/>
    </xf>
    <xf numFmtId="14" fontId="25" fillId="6" borderId="41" xfId="0" applyNumberFormat="1" applyFont="1" applyFill="1" applyBorder="1" applyAlignment="1" applyProtection="1">
      <alignment horizontal="left" vertical="center"/>
      <protection locked="0"/>
    </xf>
    <xf numFmtId="14" fontId="25" fillId="6" borderId="35" xfId="0" applyNumberFormat="1" applyFont="1" applyFill="1" applyBorder="1" applyAlignment="1" applyProtection="1">
      <alignment horizontal="left" vertical="center"/>
      <protection locked="0"/>
    </xf>
    <xf numFmtId="0" fontId="24" fillId="0" borderId="36" xfId="0" applyFont="1" applyBorder="1" applyAlignment="1" applyProtection="1">
      <alignment horizontal="left" vertical="center"/>
      <protection hidden="1"/>
    </xf>
    <xf numFmtId="0" fontId="25" fillId="6" borderId="41" xfId="0" applyFont="1" applyFill="1" applyBorder="1" applyAlignment="1" applyProtection="1">
      <alignment horizontal="left" vertical="center"/>
      <protection locked="0"/>
    </xf>
    <xf numFmtId="0" fontId="25" fillId="6" borderId="35" xfId="0" applyFont="1" applyFill="1" applyBorder="1" applyAlignment="1" applyProtection="1">
      <alignment horizontal="left" vertical="center"/>
      <protection locked="0"/>
    </xf>
    <xf numFmtId="0" fontId="26" fillId="6" borderId="77" xfId="0" applyFont="1" applyFill="1" applyBorder="1" applyAlignment="1" applyProtection="1">
      <alignment horizontal="left" vertical="center"/>
      <protection hidden="1"/>
    </xf>
    <xf numFmtId="0" fontId="26" fillId="6" borderId="78" xfId="0" applyFont="1" applyFill="1" applyBorder="1" applyAlignment="1" applyProtection="1">
      <alignment horizontal="left" vertical="center"/>
      <protection hidden="1"/>
    </xf>
    <xf numFmtId="0" fontId="31" fillId="4" borderId="34" xfId="0" applyFont="1" applyFill="1" applyBorder="1" applyProtection="1">
      <alignment vertical="center"/>
      <protection locked="0"/>
    </xf>
    <xf numFmtId="0" fontId="27" fillId="11" borderId="83" xfId="0" applyFont="1" applyFill="1" applyBorder="1" applyAlignment="1" applyProtection="1">
      <alignment horizontal="left" vertical="center"/>
      <protection hidden="1"/>
    </xf>
    <xf numFmtId="0" fontId="27" fillId="11" borderId="22" xfId="0" applyFont="1" applyFill="1" applyBorder="1" applyAlignment="1" applyProtection="1">
      <alignment horizontal="left" vertical="center"/>
      <protection hidden="1"/>
    </xf>
    <xf numFmtId="41" fontId="27" fillId="6" borderId="51" xfId="1" applyFont="1" applyFill="1" applyBorder="1" applyAlignment="1" applyProtection="1">
      <alignment horizontal="left" vertical="center"/>
      <protection locked="0"/>
    </xf>
    <xf numFmtId="0" fontId="37" fillId="0" borderId="36" xfId="0" applyFont="1" applyBorder="1" applyAlignment="1">
      <alignment horizontal="center" vertical="center" shrinkToFit="1"/>
    </xf>
    <xf numFmtId="41" fontId="13" fillId="0" borderId="41" xfId="1" applyFont="1" applyFill="1" applyBorder="1" applyAlignment="1" applyProtection="1">
      <alignment horizontal="center" vertical="center"/>
      <protection hidden="1"/>
    </xf>
    <xf numFmtId="41" fontId="13" fillId="0" borderId="77" xfId="1" applyFont="1" applyFill="1" applyBorder="1" applyAlignment="1" applyProtection="1">
      <alignment horizontal="center" vertical="center"/>
      <protection hidden="1"/>
    </xf>
    <xf numFmtId="181" fontId="8" fillId="6" borderId="227" xfId="1" applyNumberFormat="1" applyFont="1" applyFill="1" applyBorder="1" applyAlignment="1" applyProtection="1">
      <alignment horizontal="center" vertical="center" shrinkToFit="1"/>
      <protection locked="0"/>
    </xf>
    <xf numFmtId="0" fontId="24" fillId="0" borderId="58" xfId="0" applyFont="1" applyBorder="1" applyAlignment="1" applyProtection="1">
      <alignment horizontal="center" vertical="center"/>
      <protection hidden="1"/>
    </xf>
    <xf numFmtId="10" fontId="24" fillId="6" borderId="25" xfId="2" applyNumberFormat="1" applyFont="1" applyFill="1" applyBorder="1" applyAlignment="1" applyProtection="1">
      <alignment horizontal="center" vertical="center"/>
      <protection locked="0"/>
    </xf>
    <xf numFmtId="10" fontId="24" fillId="6" borderId="32" xfId="2" applyNumberFormat="1" applyFont="1" applyFill="1" applyBorder="1" applyAlignment="1" applyProtection="1">
      <alignment horizontal="center" vertical="center"/>
      <protection locked="0"/>
    </xf>
    <xf numFmtId="10" fontId="24" fillId="6" borderId="47" xfId="2" applyNumberFormat="1" applyFont="1" applyFill="1" applyBorder="1" applyAlignment="1" applyProtection="1">
      <alignment horizontal="center" vertical="center"/>
      <protection locked="0"/>
    </xf>
    <xf numFmtId="0" fontId="25" fillId="9" borderId="54" xfId="0" applyFont="1" applyFill="1" applyBorder="1" applyAlignment="1" applyProtection="1">
      <alignment horizontal="center" vertical="center" shrinkToFit="1"/>
      <protection hidden="1"/>
    </xf>
    <xf numFmtId="0" fontId="25" fillId="9" borderId="25" xfId="0" applyFont="1" applyFill="1" applyBorder="1" applyAlignment="1" applyProtection="1">
      <alignment horizontal="center" vertical="center" shrinkToFit="1"/>
      <protection hidden="1"/>
    </xf>
    <xf numFmtId="9" fontId="0" fillId="3" borderId="57" xfId="2" applyFont="1" applyFill="1" applyBorder="1" applyAlignment="1" applyProtection="1">
      <alignment horizontal="center" vertical="center"/>
      <protection locked="0"/>
    </xf>
    <xf numFmtId="9" fontId="0" fillId="3" borderId="47" xfId="2" applyFont="1" applyFill="1" applyBorder="1" applyAlignment="1" applyProtection="1">
      <alignment horizontal="center" vertical="center"/>
      <protection locked="0"/>
    </xf>
    <xf numFmtId="14" fontId="26" fillId="0" borderId="45" xfId="0" applyNumberFormat="1" applyFont="1" applyBorder="1" applyAlignment="1" applyProtection="1">
      <alignment horizontal="center" vertical="center"/>
      <protection hidden="1"/>
    </xf>
    <xf numFmtId="0" fontId="26" fillId="3" borderId="32" xfId="0" applyFont="1" applyFill="1" applyBorder="1" applyAlignment="1" applyProtection="1">
      <alignment horizontal="center" vertical="center"/>
      <protection hidden="1"/>
    </xf>
    <xf numFmtId="14" fontId="26" fillId="0" borderId="40" xfId="0" applyNumberFormat="1" applyFont="1" applyBorder="1" applyAlignment="1" applyProtection="1">
      <alignment horizontal="center" vertical="center"/>
      <protection hidden="1"/>
    </xf>
    <xf numFmtId="0" fontId="26" fillId="2" borderId="47" xfId="0" applyFont="1" applyFill="1" applyBorder="1" applyAlignment="1" applyProtection="1">
      <alignment horizontal="center" vertical="center"/>
      <protection hidden="1"/>
    </xf>
    <xf numFmtId="0" fontId="5" fillId="11" borderId="0" xfId="0" applyFont="1" applyFill="1" applyAlignment="1" applyProtection="1">
      <alignment vertical="center" shrinkToFit="1"/>
      <protection hidden="1"/>
    </xf>
    <xf numFmtId="0" fontId="11" fillId="11" borderId="0" xfId="0" applyFont="1" applyFill="1" applyAlignment="1" applyProtection="1">
      <alignment vertical="center" shrinkToFit="1"/>
      <protection hidden="1"/>
    </xf>
    <xf numFmtId="0" fontId="11" fillId="11" borderId="0" xfId="0" applyFont="1" applyFill="1" applyAlignment="1" applyProtection="1">
      <alignment horizontal="center" vertical="center" shrinkToFit="1"/>
      <protection hidden="1"/>
    </xf>
    <xf numFmtId="0" fontId="84" fillId="13" borderId="198" xfId="0" applyFont="1" applyFill="1" applyBorder="1" applyAlignment="1" applyProtection="1">
      <alignment horizontal="center" vertical="center" shrinkToFit="1"/>
      <protection hidden="1"/>
    </xf>
    <xf numFmtId="49" fontId="6" fillId="11" borderId="200" xfId="0" applyNumberFormat="1" applyFont="1" applyFill="1" applyBorder="1" applyAlignment="1" applyProtection="1">
      <alignment horizontal="center" vertical="center" shrinkToFit="1"/>
      <protection hidden="1"/>
    </xf>
    <xf numFmtId="0" fontId="6" fillId="11" borderId="200" xfId="0" applyFont="1" applyFill="1" applyBorder="1" applyAlignment="1" applyProtection="1">
      <alignment horizontal="center" vertical="center" shrinkToFit="1"/>
      <protection hidden="1"/>
    </xf>
    <xf numFmtId="41" fontId="12" fillId="11" borderId="200" xfId="0" applyNumberFormat="1" applyFont="1" applyFill="1" applyBorder="1" applyAlignment="1" applyProtection="1">
      <alignment vertical="center" shrinkToFit="1"/>
      <protection hidden="1"/>
    </xf>
    <xf numFmtId="0" fontId="12" fillId="11" borderId="200" xfId="0" applyFont="1" applyFill="1" applyBorder="1" applyAlignment="1" applyProtection="1">
      <alignment vertical="center" shrinkToFit="1"/>
      <protection hidden="1"/>
    </xf>
    <xf numFmtId="0" fontId="12" fillId="11" borderId="200" xfId="0" applyFont="1" applyFill="1" applyBorder="1" applyAlignment="1" applyProtection="1">
      <alignment horizontal="center" vertical="center" shrinkToFit="1"/>
      <protection hidden="1"/>
    </xf>
    <xf numFmtId="188" fontId="12" fillId="11" borderId="43" xfId="0" applyNumberFormat="1" applyFont="1" applyFill="1" applyBorder="1" applyAlignment="1" applyProtection="1">
      <alignment vertical="center" shrinkToFit="1"/>
      <protection hidden="1"/>
    </xf>
    <xf numFmtId="49" fontId="69" fillId="11" borderId="0" xfId="0" applyNumberFormat="1" applyFont="1" applyFill="1" applyAlignment="1" applyProtection="1">
      <alignment horizontal="center" vertical="center" shrinkToFit="1"/>
      <protection hidden="1"/>
    </xf>
    <xf numFmtId="0" fontId="69" fillId="11" borderId="0" xfId="0" applyFont="1" applyFill="1" applyAlignment="1" applyProtection="1">
      <alignment horizontal="center" vertical="center" shrinkToFit="1"/>
      <protection hidden="1"/>
    </xf>
    <xf numFmtId="41" fontId="8" fillId="11" borderId="0" xfId="9" applyFont="1" applyFill="1" applyBorder="1" applyAlignment="1" applyProtection="1">
      <alignment horizontal="right" vertical="center" shrinkToFit="1"/>
      <protection hidden="1"/>
    </xf>
    <xf numFmtId="0" fontId="69" fillId="11" borderId="0" xfId="0" applyFont="1" applyFill="1" applyAlignment="1" applyProtection="1">
      <alignment vertical="center" shrinkToFit="1"/>
      <protection hidden="1"/>
    </xf>
    <xf numFmtId="188" fontId="8" fillId="11" borderId="0" xfId="6" applyNumberFormat="1" applyFont="1" applyFill="1" applyBorder="1" applyAlignment="1" applyProtection="1">
      <alignment vertical="center" shrinkToFit="1"/>
      <protection hidden="1"/>
    </xf>
    <xf numFmtId="41" fontId="8" fillId="11" borderId="0" xfId="9" applyFont="1" applyFill="1" applyBorder="1" applyAlignment="1" applyProtection="1">
      <alignment horizontal="center" vertical="center" shrinkToFit="1"/>
      <protection hidden="1"/>
    </xf>
    <xf numFmtId="186" fontId="8" fillId="11" borderId="0" xfId="9" applyNumberFormat="1" applyFont="1" applyFill="1" applyBorder="1" applyAlignment="1" applyProtection="1">
      <alignment vertical="center" shrinkToFit="1"/>
      <protection hidden="1"/>
    </xf>
    <xf numFmtId="189" fontId="8" fillId="11" borderId="0" xfId="9" applyNumberFormat="1" applyFont="1" applyFill="1" applyBorder="1" applyAlignment="1" applyProtection="1">
      <alignment vertical="center" shrinkToFit="1"/>
      <protection hidden="1"/>
    </xf>
    <xf numFmtId="188" fontId="8" fillId="11" borderId="90" xfId="9" applyNumberFormat="1" applyFont="1" applyFill="1" applyBorder="1" applyAlignment="1" applyProtection="1">
      <alignment vertical="center" shrinkToFit="1"/>
      <protection hidden="1"/>
    </xf>
    <xf numFmtId="41" fontId="11" fillId="11" borderId="0" xfId="0" applyNumberFormat="1" applyFont="1" applyFill="1" applyAlignment="1" applyProtection="1">
      <alignment vertical="center" shrinkToFit="1"/>
      <protection hidden="1"/>
    </xf>
    <xf numFmtId="0" fontId="11" fillId="11" borderId="90" xfId="0" applyFont="1" applyFill="1" applyBorder="1" applyAlignment="1" applyProtection="1">
      <alignment vertical="center" shrinkToFit="1"/>
      <protection hidden="1"/>
    </xf>
    <xf numFmtId="49" fontId="69" fillId="11" borderId="197" xfId="0" applyNumberFormat="1" applyFont="1" applyFill="1" applyBorder="1" applyAlignment="1" applyProtection="1">
      <alignment horizontal="center" vertical="center" shrinkToFit="1"/>
      <protection hidden="1"/>
    </xf>
    <xf numFmtId="0" fontId="69" fillId="11" borderId="197" xfId="0" applyFont="1" applyFill="1" applyBorder="1" applyAlignment="1" applyProtection="1">
      <alignment horizontal="center" vertical="center" shrinkToFit="1"/>
      <protection hidden="1"/>
    </xf>
    <xf numFmtId="41" fontId="11" fillId="11" borderId="197" xfId="0" applyNumberFormat="1" applyFont="1" applyFill="1" applyBorder="1" applyAlignment="1" applyProtection="1">
      <alignment vertical="center" shrinkToFit="1"/>
      <protection hidden="1"/>
    </xf>
    <xf numFmtId="0" fontId="69" fillId="11" borderId="197" xfId="0" applyFont="1" applyFill="1" applyBorder="1" applyAlignment="1" applyProtection="1">
      <alignment vertical="center" shrinkToFit="1"/>
      <protection hidden="1"/>
    </xf>
    <xf numFmtId="0" fontId="11" fillId="11" borderId="197" xfId="0" applyFont="1" applyFill="1" applyBorder="1" applyAlignment="1" applyProtection="1">
      <alignment vertical="center" shrinkToFit="1"/>
      <protection hidden="1"/>
    </xf>
    <xf numFmtId="0" fontId="11" fillId="11" borderId="197" xfId="0" applyFont="1" applyFill="1" applyBorder="1" applyAlignment="1" applyProtection="1">
      <alignment horizontal="center" vertical="center" shrinkToFit="1"/>
      <protection hidden="1"/>
    </xf>
    <xf numFmtId="0" fontId="11" fillId="11" borderId="29" xfId="0" applyFont="1" applyFill="1" applyBorder="1" applyAlignment="1" applyProtection="1">
      <alignment vertical="center" shrinkToFit="1"/>
      <protection hidden="1"/>
    </xf>
    <xf numFmtId="49" fontId="69" fillId="11" borderId="198" xfId="0" applyNumberFormat="1" applyFont="1" applyFill="1" applyBorder="1" applyAlignment="1" applyProtection="1">
      <alignment horizontal="center" vertical="center" shrinkToFit="1"/>
      <protection hidden="1"/>
    </xf>
    <xf numFmtId="0" fontId="69" fillId="11" borderId="198" xfId="0" applyFont="1" applyFill="1" applyBorder="1" applyAlignment="1" applyProtection="1">
      <alignment horizontal="center" vertical="center" shrinkToFit="1"/>
      <protection hidden="1"/>
    </xf>
    <xf numFmtId="41" fontId="11" fillId="11" borderId="198" xfId="0" applyNumberFormat="1" applyFont="1" applyFill="1" applyBorder="1" applyAlignment="1" applyProtection="1">
      <alignment vertical="center" shrinkToFit="1"/>
      <protection hidden="1"/>
    </xf>
    <xf numFmtId="0" fontId="11" fillId="11" borderId="198" xfId="0" applyFont="1" applyFill="1" applyBorder="1" applyAlignment="1" applyProtection="1">
      <alignment vertical="center" shrinkToFit="1"/>
      <protection hidden="1"/>
    </xf>
    <xf numFmtId="0" fontId="11" fillId="11" borderId="198" xfId="0" applyFont="1" applyFill="1" applyBorder="1" applyAlignment="1" applyProtection="1">
      <alignment horizontal="center" vertical="center" shrinkToFit="1"/>
      <protection hidden="1"/>
    </xf>
    <xf numFmtId="188" fontId="11" fillId="11" borderId="36" xfId="0" applyNumberFormat="1" applyFont="1" applyFill="1" applyBorder="1" applyAlignment="1" applyProtection="1">
      <alignment vertical="center" shrinkToFit="1"/>
      <protection hidden="1"/>
    </xf>
    <xf numFmtId="49" fontId="69" fillId="11" borderId="43" xfId="0" applyNumberFormat="1" applyFont="1" applyFill="1" applyBorder="1" applyAlignment="1" applyProtection="1">
      <alignment horizontal="center" vertical="center" shrinkToFit="1"/>
      <protection hidden="1"/>
    </xf>
    <xf numFmtId="0" fontId="69" fillId="11" borderId="43" xfId="0" applyFont="1" applyFill="1" applyBorder="1" applyAlignment="1" applyProtection="1">
      <alignment horizontal="center" vertical="center" shrinkToFit="1"/>
      <protection hidden="1"/>
    </xf>
    <xf numFmtId="41" fontId="70" fillId="11" borderId="43" xfId="3" applyNumberFormat="1" applyFont="1" applyFill="1" applyBorder="1" applyAlignment="1" applyProtection="1">
      <alignment horizontal="center" vertical="center" shrinkToFit="1"/>
      <protection hidden="1"/>
    </xf>
    <xf numFmtId="41" fontId="70" fillId="11" borderId="199" xfId="3" applyNumberFormat="1" applyFont="1" applyFill="1" applyBorder="1" applyAlignment="1" applyProtection="1">
      <alignment horizontal="center" vertical="center" shrinkToFit="1"/>
      <protection hidden="1"/>
    </xf>
    <xf numFmtId="0" fontId="11" fillId="11" borderId="200" xfId="0" applyFont="1" applyFill="1" applyBorder="1" applyAlignment="1" applyProtection="1">
      <alignment vertical="center" shrinkToFit="1"/>
      <protection hidden="1"/>
    </xf>
    <xf numFmtId="0" fontId="11" fillId="11" borderId="200" xfId="0" applyFont="1" applyFill="1" applyBorder="1" applyAlignment="1" applyProtection="1">
      <alignment horizontal="center" vertical="center" shrinkToFit="1"/>
      <protection hidden="1"/>
    </xf>
    <xf numFmtId="188" fontId="11" fillId="11" borderId="43" xfId="0" applyNumberFormat="1" applyFont="1" applyFill="1" applyBorder="1" applyAlignment="1" applyProtection="1">
      <alignment vertical="center" shrinkToFit="1"/>
      <protection hidden="1"/>
    </xf>
    <xf numFmtId="49" fontId="69" fillId="11" borderId="90" xfId="0" applyNumberFormat="1" applyFont="1" applyFill="1" applyBorder="1" applyAlignment="1" applyProtection="1">
      <alignment horizontal="center" vertical="center" shrinkToFit="1"/>
      <protection hidden="1"/>
    </xf>
    <xf numFmtId="0" fontId="69" fillId="11" borderId="90" xfId="0" applyFont="1" applyFill="1" applyBorder="1" applyAlignment="1" applyProtection="1">
      <alignment horizontal="center" vertical="center" shrinkToFit="1"/>
      <protection hidden="1"/>
    </xf>
    <xf numFmtId="41" fontId="11" fillId="11" borderId="90" xfId="0" applyNumberFormat="1" applyFont="1" applyFill="1" applyBorder="1" applyAlignment="1" applyProtection="1">
      <alignment vertical="center" shrinkToFit="1"/>
      <protection hidden="1"/>
    </xf>
    <xf numFmtId="41" fontId="70" fillId="11" borderId="201" xfId="3" applyNumberFormat="1" applyFont="1" applyFill="1" applyBorder="1" applyAlignment="1" applyProtection="1">
      <alignment horizontal="center" vertical="center" shrinkToFit="1"/>
      <protection hidden="1"/>
    </xf>
    <xf numFmtId="41" fontId="11" fillId="11" borderId="201" xfId="0" applyNumberFormat="1" applyFont="1" applyFill="1" applyBorder="1" applyAlignment="1" applyProtection="1">
      <alignment vertical="center" shrinkToFit="1"/>
      <protection hidden="1"/>
    </xf>
    <xf numFmtId="49" fontId="69" fillId="11" borderId="215" xfId="0" applyNumberFormat="1" applyFont="1" applyFill="1" applyBorder="1" applyAlignment="1" applyProtection="1">
      <alignment horizontal="center" vertical="center" shrinkToFit="1"/>
      <protection hidden="1"/>
    </xf>
    <xf numFmtId="0" fontId="69" fillId="11" borderId="215" xfId="0" applyFont="1" applyFill="1" applyBorder="1" applyAlignment="1" applyProtection="1">
      <alignment horizontal="center" vertical="center" shrinkToFit="1"/>
      <protection hidden="1"/>
    </xf>
    <xf numFmtId="41" fontId="70" fillId="11" borderId="215" xfId="3" applyNumberFormat="1" applyFont="1" applyFill="1" applyBorder="1" applyAlignment="1" applyProtection="1">
      <alignment horizontal="center" vertical="center" shrinkToFit="1"/>
      <protection hidden="1"/>
    </xf>
    <xf numFmtId="41" fontId="13" fillId="11" borderId="215" xfId="0" applyNumberFormat="1" applyFont="1" applyFill="1" applyBorder="1" applyAlignment="1" applyProtection="1">
      <alignment vertical="center" shrinkToFit="1"/>
      <protection hidden="1"/>
    </xf>
    <xf numFmtId="188" fontId="8" fillId="11" borderId="217" xfId="6" applyNumberFormat="1" applyFont="1" applyFill="1" applyBorder="1" applyAlignment="1" applyProtection="1">
      <alignment vertical="center" shrinkToFit="1"/>
      <protection hidden="1"/>
    </xf>
    <xf numFmtId="41" fontId="8" fillId="11" borderId="217" xfId="9" applyFont="1" applyFill="1" applyBorder="1" applyAlignment="1" applyProtection="1">
      <alignment horizontal="center" vertical="center" shrinkToFit="1"/>
      <protection hidden="1"/>
    </xf>
    <xf numFmtId="186" fontId="8" fillId="11" borderId="217" xfId="9" applyNumberFormat="1" applyFont="1" applyFill="1" applyBorder="1" applyAlignment="1" applyProtection="1">
      <alignment vertical="center" shrinkToFit="1"/>
      <protection hidden="1"/>
    </xf>
    <xf numFmtId="189" fontId="8" fillId="11" borderId="217" xfId="9" applyNumberFormat="1" applyFont="1" applyFill="1" applyBorder="1" applyAlignment="1" applyProtection="1">
      <alignment vertical="center" shrinkToFit="1"/>
      <protection hidden="1"/>
    </xf>
    <xf numFmtId="41" fontId="8" fillId="11" borderId="218" xfId="9" applyFont="1" applyFill="1" applyBorder="1" applyAlignment="1" applyProtection="1">
      <alignment horizontal="center" vertical="center" shrinkToFit="1"/>
      <protection hidden="1"/>
    </xf>
    <xf numFmtId="0" fontId="11" fillId="11" borderId="215" xfId="0" applyFont="1" applyFill="1" applyBorder="1" applyAlignment="1" applyProtection="1">
      <alignment vertical="center" shrinkToFit="1"/>
      <protection hidden="1"/>
    </xf>
    <xf numFmtId="188" fontId="8" fillId="11" borderId="215" xfId="9" applyNumberFormat="1" applyFont="1" applyFill="1" applyBorder="1" applyAlignment="1" applyProtection="1">
      <alignment vertical="center" shrinkToFit="1"/>
      <protection hidden="1"/>
    </xf>
    <xf numFmtId="49" fontId="69" fillId="11" borderId="214" xfId="0" applyNumberFormat="1" applyFont="1" applyFill="1" applyBorder="1" applyAlignment="1" applyProtection="1">
      <alignment horizontal="center" vertical="center" shrinkToFit="1"/>
      <protection hidden="1"/>
    </xf>
    <xf numFmtId="0" fontId="69" fillId="11" borderId="214" xfId="0" applyFont="1" applyFill="1" applyBorder="1" applyAlignment="1" applyProtection="1">
      <alignment horizontal="center" vertical="center" shrinkToFit="1"/>
      <protection hidden="1"/>
    </xf>
    <xf numFmtId="41" fontId="70" fillId="11" borderId="214" xfId="3" applyNumberFormat="1" applyFont="1" applyFill="1" applyBorder="1" applyAlignment="1" applyProtection="1">
      <alignment horizontal="center" vertical="center" shrinkToFit="1"/>
      <protection hidden="1"/>
    </xf>
    <xf numFmtId="41" fontId="13" fillId="11" borderId="214" xfId="0" applyNumberFormat="1" applyFont="1" applyFill="1" applyBorder="1" applyAlignment="1" applyProtection="1">
      <alignment vertical="center" shrinkToFit="1"/>
      <protection hidden="1"/>
    </xf>
    <xf numFmtId="188" fontId="8" fillId="11" borderId="220" xfId="6" applyNumberFormat="1" applyFont="1" applyFill="1" applyBorder="1" applyAlignment="1" applyProtection="1">
      <alignment vertical="center" shrinkToFit="1"/>
      <protection hidden="1"/>
    </xf>
    <xf numFmtId="41" fontId="8" fillId="11" borderId="220" xfId="9" applyFont="1" applyFill="1" applyBorder="1" applyAlignment="1" applyProtection="1">
      <alignment horizontal="center" vertical="center" shrinkToFit="1"/>
      <protection hidden="1"/>
    </xf>
    <xf numFmtId="186" fontId="8" fillId="11" borderId="220" xfId="9" applyNumberFormat="1" applyFont="1" applyFill="1" applyBorder="1" applyAlignment="1" applyProtection="1">
      <alignment vertical="center" shrinkToFit="1"/>
      <protection hidden="1"/>
    </xf>
    <xf numFmtId="189" fontId="8" fillId="11" borderId="220" xfId="9" applyNumberFormat="1" applyFont="1" applyFill="1" applyBorder="1" applyAlignment="1" applyProtection="1">
      <alignment vertical="center" shrinkToFit="1"/>
      <protection hidden="1"/>
    </xf>
    <xf numFmtId="41" fontId="8" fillId="11" borderId="221" xfId="9" applyFont="1" applyFill="1" applyBorder="1" applyAlignment="1" applyProtection="1">
      <alignment horizontal="center" vertical="center" shrinkToFit="1"/>
      <protection hidden="1"/>
    </xf>
    <xf numFmtId="188" fontId="8" fillId="11" borderId="214" xfId="9" applyNumberFormat="1" applyFont="1" applyFill="1" applyBorder="1" applyAlignment="1" applyProtection="1">
      <alignment vertical="center" shrinkToFit="1"/>
      <protection hidden="1"/>
    </xf>
    <xf numFmtId="0" fontId="11" fillId="11" borderId="214" xfId="0" applyFont="1" applyFill="1" applyBorder="1" applyAlignment="1" applyProtection="1">
      <alignment vertical="center" shrinkToFit="1"/>
      <protection hidden="1"/>
    </xf>
    <xf numFmtId="10" fontId="8" fillId="11" borderId="0" xfId="2" applyNumberFormat="1" applyFont="1" applyFill="1" applyBorder="1" applyAlignment="1" applyProtection="1">
      <alignment vertical="center" shrinkToFit="1"/>
      <protection hidden="1"/>
    </xf>
    <xf numFmtId="10" fontId="11" fillId="11" borderId="200" xfId="2" applyNumberFormat="1" applyFont="1" applyFill="1" applyBorder="1" applyAlignment="1" applyProtection="1">
      <alignment vertical="center" shrinkToFit="1"/>
      <protection hidden="1"/>
    </xf>
    <xf numFmtId="0" fontId="84" fillId="11" borderId="198" xfId="0" applyFont="1" applyFill="1" applyBorder="1" applyAlignment="1" applyProtection="1">
      <alignment horizontal="center" vertical="center" shrinkToFit="1"/>
      <protection hidden="1"/>
    </xf>
    <xf numFmtId="188" fontId="11" fillId="11" borderId="90" xfId="0" applyNumberFormat="1" applyFont="1" applyFill="1" applyBorder="1" applyAlignment="1" applyProtection="1">
      <alignment vertical="center" shrinkToFit="1"/>
      <protection hidden="1"/>
    </xf>
    <xf numFmtId="41" fontId="70" fillId="11" borderId="42" xfId="3" applyNumberFormat="1" applyFont="1" applyFill="1" applyBorder="1" applyAlignment="1" applyProtection="1">
      <alignment horizontal="center" vertical="center" shrinkToFit="1"/>
      <protection hidden="1"/>
    </xf>
    <xf numFmtId="41" fontId="13" fillId="11" borderId="43" xfId="0" applyNumberFormat="1" applyFont="1" applyFill="1" applyBorder="1" applyAlignment="1" applyProtection="1">
      <alignment horizontal="center" vertical="center" shrinkToFit="1"/>
      <protection hidden="1"/>
    </xf>
    <xf numFmtId="41" fontId="11" fillId="11" borderId="85" xfId="0" applyNumberFormat="1" applyFont="1" applyFill="1" applyBorder="1" applyAlignment="1" applyProtection="1">
      <alignment vertical="center" shrinkToFit="1"/>
      <protection hidden="1"/>
    </xf>
    <xf numFmtId="41" fontId="70" fillId="11" borderId="90" xfId="3" applyNumberFormat="1" applyFont="1" applyFill="1" applyBorder="1" applyAlignment="1" applyProtection="1">
      <alignment horizontal="center" vertical="center" shrinkToFit="1"/>
      <protection hidden="1"/>
    </xf>
    <xf numFmtId="49" fontId="69" fillId="11" borderId="29" xfId="0" applyNumberFormat="1" applyFont="1" applyFill="1" applyBorder="1" applyAlignment="1" applyProtection="1">
      <alignment horizontal="center" vertical="center" shrinkToFit="1"/>
      <protection hidden="1"/>
    </xf>
    <xf numFmtId="0" fontId="69" fillId="11" borderId="29" xfId="0" applyFont="1" applyFill="1" applyBorder="1" applyAlignment="1" applyProtection="1">
      <alignment horizontal="center" vertical="center" shrinkToFit="1"/>
      <protection hidden="1"/>
    </xf>
    <xf numFmtId="41" fontId="11" fillId="11" borderId="28" xfId="0" applyNumberFormat="1" applyFont="1" applyFill="1" applyBorder="1" applyAlignment="1" applyProtection="1">
      <alignment vertical="center" shrinkToFit="1"/>
      <protection hidden="1"/>
    </xf>
    <xf numFmtId="41" fontId="11" fillId="11" borderId="29" xfId="0" applyNumberFormat="1" applyFont="1" applyFill="1" applyBorder="1" applyAlignment="1" applyProtection="1">
      <alignment vertical="center" shrinkToFit="1"/>
      <protection hidden="1"/>
    </xf>
    <xf numFmtId="41" fontId="11" fillId="11" borderId="30" xfId="0" applyNumberFormat="1" applyFont="1" applyFill="1" applyBorder="1" applyAlignment="1" applyProtection="1">
      <alignment vertical="center" shrinkToFit="1"/>
      <protection hidden="1"/>
    </xf>
    <xf numFmtId="188" fontId="8" fillId="11" borderId="197" xfId="6" applyNumberFormat="1" applyFont="1" applyFill="1" applyBorder="1" applyAlignment="1" applyProtection="1">
      <alignment vertical="center" shrinkToFit="1"/>
      <protection hidden="1"/>
    </xf>
    <xf numFmtId="41" fontId="8" fillId="11" borderId="197" xfId="9" applyFont="1" applyFill="1" applyBorder="1" applyAlignment="1" applyProtection="1">
      <alignment horizontal="center" vertical="center" shrinkToFit="1"/>
      <protection hidden="1"/>
    </xf>
    <xf numFmtId="186" fontId="8" fillId="11" borderId="197" xfId="9" applyNumberFormat="1" applyFont="1" applyFill="1" applyBorder="1" applyAlignment="1" applyProtection="1">
      <alignment vertical="center" shrinkToFit="1"/>
      <protection hidden="1"/>
    </xf>
    <xf numFmtId="189" fontId="8" fillId="11" borderId="197" xfId="9" applyNumberFormat="1" applyFont="1" applyFill="1" applyBorder="1" applyAlignment="1" applyProtection="1">
      <alignment vertical="center" shrinkToFit="1"/>
      <protection hidden="1"/>
    </xf>
    <xf numFmtId="188" fontId="8" fillId="11" borderId="29" xfId="9" applyNumberFormat="1" applyFont="1" applyFill="1" applyBorder="1" applyAlignment="1" applyProtection="1">
      <alignment vertical="center" shrinkToFit="1"/>
      <protection hidden="1"/>
    </xf>
    <xf numFmtId="41" fontId="70" fillId="11" borderId="221" xfId="3" applyNumberFormat="1" applyFont="1" applyFill="1" applyBorder="1" applyAlignment="1" applyProtection="1">
      <alignment horizontal="center" vertical="center" shrinkToFit="1"/>
      <protection hidden="1"/>
    </xf>
    <xf numFmtId="0" fontId="11" fillId="11" borderId="43" xfId="0" applyFont="1" applyFill="1" applyBorder="1" applyAlignment="1" applyProtection="1">
      <alignment vertical="center" shrinkToFit="1"/>
      <protection hidden="1"/>
    </xf>
    <xf numFmtId="192" fontId="8" fillId="11" borderId="0" xfId="9" applyNumberFormat="1" applyFont="1" applyFill="1" applyBorder="1" applyAlignment="1" applyProtection="1">
      <alignment vertical="center" shrinkToFit="1"/>
      <protection hidden="1"/>
    </xf>
    <xf numFmtId="41" fontId="70" fillId="11" borderId="218" xfId="3" applyNumberFormat="1" applyFont="1" applyFill="1" applyBorder="1" applyAlignment="1" applyProtection="1">
      <alignment horizontal="center" vertical="center" shrinkToFit="1"/>
      <protection hidden="1"/>
    </xf>
    <xf numFmtId="0" fontId="84" fillId="11" borderId="36" xfId="0" applyFont="1" applyFill="1" applyBorder="1" applyAlignment="1" applyProtection="1">
      <alignment horizontal="center" vertical="center" shrinkToFit="1"/>
      <protection hidden="1"/>
    </xf>
    <xf numFmtId="0" fontId="0" fillId="11" borderId="0" xfId="0" applyFill="1" applyAlignment="1">
      <alignment vertical="center" shrinkToFit="1"/>
    </xf>
    <xf numFmtId="0" fontId="24" fillId="0" borderId="34" xfId="0" applyFont="1" applyBorder="1" applyAlignment="1" applyProtection="1">
      <alignment horizontal="center" vertical="center"/>
      <protection hidden="1"/>
    </xf>
    <xf numFmtId="14" fontId="89" fillId="6" borderId="25" xfId="0" applyNumberFormat="1" applyFont="1" applyFill="1" applyBorder="1" applyProtection="1">
      <alignment vertical="center"/>
      <protection locked="0"/>
    </xf>
    <xf numFmtId="0" fontId="26" fillId="0" borderId="57" xfId="0" applyFont="1" applyBorder="1" applyAlignment="1" applyProtection="1">
      <alignment horizontal="center" vertical="center"/>
      <protection hidden="1"/>
    </xf>
    <xf numFmtId="14" fontId="89" fillId="6" borderId="47" xfId="0" applyNumberFormat="1" applyFont="1" applyFill="1" applyBorder="1" applyProtection="1">
      <alignment vertical="center"/>
      <protection locked="0"/>
    </xf>
    <xf numFmtId="0" fontId="77" fillId="3" borderId="2" xfId="0" applyFont="1" applyFill="1" applyBorder="1" applyAlignment="1" applyProtection="1">
      <alignment horizontal="center" vertical="center" wrapText="1"/>
      <protection hidden="1"/>
    </xf>
    <xf numFmtId="0" fontId="77" fillId="2" borderId="2" xfId="0" applyFont="1" applyFill="1" applyBorder="1" applyAlignment="1" applyProtection="1">
      <alignment horizontal="center" vertical="center" wrapText="1"/>
      <protection hidden="1"/>
    </xf>
    <xf numFmtId="0" fontId="77" fillId="4" borderId="2" xfId="0" applyFont="1" applyFill="1" applyBorder="1" applyAlignment="1" applyProtection="1">
      <alignment horizontal="center" vertical="center" wrapText="1"/>
      <protection hidden="1"/>
    </xf>
    <xf numFmtId="0" fontId="94" fillId="0" borderId="36" xfId="0" applyFont="1" applyBorder="1" applyAlignment="1" applyProtection="1">
      <alignment horizontal="center" vertical="center"/>
      <protection hidden="1"/>
    </xf>
    <xf numFmtId="193" fontId="8" fillId="11" borderId="0" xfId="9" applyNumberFormat="1" applyFont="1" applyFill="1" applyBorder="1" applyAlignment="1" applyProtection="1">
      <alignment vertical="center"/>
      <protection hidden="1"/>
    </xf>
    <xf numFmtId="194" fontId="8" fillId="11" borderId="0" xfId="9" applyNumberFormat="1" applyFont="1" applyFill="1" applyBorder="1" applyAlignment="1" applyProtection="1">
      <alignment vertical="center"/>
      <protection hidden="1"/>
    </xf>
    <xf numFmtId="183" fontId="8" fillId="11" borderId="90" xfId="0" applyNumberFormat="1" applyFont="1" applyFill="1" applyBorder="1" applyProtection="1">
      <alignment vertical="center"/>
      <protection hidden="1"/>
    </xf>
    <xf numFmtId="183" fontId="0" fillId="11" borderId="0" xfId="0" applyNumberFormat="1" applyFill="1" applyProtection="1">
      <alignment vertical="center"/>
      <protection hidden="1"/>
    </xf>
    <xf numFmtId="10" fontId="40" fillId="6" borderId="104" xfId="2" applyNumberFormat="1" applyFont="1" applyFill="1" applyBorder="1" applyAlignment="1">
      <alignment horizontal="right" vertical="center" wrapText="1"/>
    </xf>
    <xf numFmtId="41" fontId="40" fillId="6" borderId="104" xfId="1" applyFont="1" applyFill="1" applyBorder="1" applyAlignment="1">
      <alignment horizontal="right" vertical="center" wrapText="1"/>
    </xf>
    <xf numFmtId="0" fontId="31" fillId="20" borderId="34" xfId="0" applyFont="1" applyFill="1" applyBorder="1" applyProtection="1">
      <alignment vertical="center"/>
      <protection locked="0"/>
    </xf>
    <xf numFmtId="176" fontId="31" fillId="3" borderId="34" xfId="0" applyNumberFormat="1" applyFont="1" applyFill="1" applyBorder="1" applyAlignment="1" applyProtection="1">
      <alignment horizontal="center" vertical="center"/>
      <protection locked="0"/>
    </xf>
    <xf numFmtId="0" fontId="31" fillId="21" borderId="34" xfId="0" applyFont="1" applyFill="1" applyBorder="1" applyProtection="1">
      <alignment vertical="center"/>
      <protection locked="0"/>
    </xf>
    <xf numFmtId="0" fontId="31" fillId="19" borderId="54" xfId="0" applyFont="1" applyFill="1" applyBorder="1" applyProtection="1">
      <alignment vertical="center"/>
      <protection locked="0"/>
    </xf>
    <xf numFmtId="0" fontId="8" fillId="3" borderId="79" xfId="3" applyFont="1" applyFill="1" applyBorder="1" applyAlignment="1" applyProtection="1">
      <alignment horizontal="left" vertical="center" shrinkToFit="1"/>
      <protection locked="0"/>
    </xf>
    <xf numFmtId="0" fontId="8" fillId="3" borderId="86" xfId="3" applyFont="1" applyFill="1" applyBorder="1" applyAlignment="1" applyProtection="1">
      <alignment horizontal="left" vertical="center" shrinkToFit="1"/>
      <protection locked="0"/>
    </xf>
    <xf numFmtId="0" fontId="31" fillId="11" borderId="35" xfId="0" applyFont="1" applyFill="1" applyBorder="1" applyAlignment="1" applyProtection="1">
      <alignment horizontal="left" vertical="center"/>
      <protection locked="0"/>
    </xf>
    <xf numFmtId="0" fontId="31" fillId="20" borderId="35" xfId="0" applyFont="1" applyFill="1" applyBorder="1" applyAlignment="1" applyProtection="1">
      <alignment horizontal="left" vertical="center"/>
      <protection locked="0"/>
    </xf>
    <xf numFmtId="195" fontId="33" fillId="3" borderId="40" xfId="0" applyNumberFormat="1" applyFont="1" applyFill="1" applyBorder="1" applyAlignment="1" applyProtection="1">
      <alignment horizontal="left" vertical="center"/>
      <protection locked="0"/>
    </xf>
    <xf numFmtId="0" fontId="31" fillId="21" borderId="35" xfId="0" applyFont="1" applyFill="1" applyBorder="1" applyAlignment="1" applyProtection="1">
      <alignment horizontal="left" vertical="center"/>
      <protection locked="0"/>
    </xf>
    <xf numFmtId="0" fontId="31" fillId="19" borderId="54" xfId="0" applyFont="1" applyFill="1" applyBorder="1" applyAlignment="1" applyProtection="1">
      <alignment horizontal="left" vertical="center"/>
      <protection locked="0"/>
    </xf>
    <xf numFmtId="195" fontId="33" fillId="4" borderId="40" xfId="0" applyNumberFormat="1" applyFont="1" applyFill="1" applyBorder="1" applyAlignment="1" applyProtection="1">
      <alignment horizontal="left" vertical="center"/>
      <protection locked="0"/>
    </xf>
    <xf numFmtId="0" fontId="31" fillId="21" borderId="54" xfId="0" applyFont="1" applyFill="1" applyBorder="1" applyAlignment="1" applyProtection="1">
      <alignment horizontal="left" vertical="center"/>
      <protection locked="0"/>
    </xf>
    <xf numFmtId="0" fontId="31" fillId="20" borderId="54" xfId="0" applyFont="1" applyFill="1" applyBorder="1" applyAlignment="1" applyProtection="1">
      <alignment horizontal="left" vertical="center"/>
      <protection locked="0"/>
    </xf>
    <xf numFmtId="0" fontId="31" fillId="3" borderId="57" xfId="0" applyFont="1" applyFill="1" applyBorder="1" applyAlignment="1" applyProtection="1">
      <alignment horizontal="left" vertical="center"/>
      <protection locked="0"/>
    </xf>
    <xf numFmtId="179" fontId="8" fillId="0" borderId="30" xfId="0" applyNumberFormat="1" applyFont="1" applyBorder="1" applyAlignment="1">
      <alignment horizontal="center" vertical="center"/>
    </xf>
    <xf numFmtId="0" fontId="31" fillId="0" borderId="34" xfId="0" applyFont="1" applyBorder="1" applyProtection="1">
      <alignment vertical="center"/>
      <protection locked="0"/>
    </xf>
    <xf numFmtId="0" fontId="24" fillId="11" borderId="79" xfId="0" applyFont="1" applyFill="1" applyBorder="1" applyProtection="1">
      <alignment vertical="center"/>
      <protection hidden="1"/>
    </xf>
    <xf numFmtId="41" fontId="24" fillId="8" borderId="25" xfId="1" applyFont="1" applyFill="1" applyBorder="1" applyProtection="1">
      <alignment vertical="center"/>
      <protection hidden="1"/>
    </xf>
    <xf numFmtId="0" fontId="24" fillId="0" borderId="54" xfId="0" applyFont="1" applyBorder="1" applyProtection="1">
      <alignment vertical="center"/>
      <protection hidden="1"/>
    </xf>
    <xf numFmtId="0" fontId="31" fillId="22" borderId="34" xfId="0" applyFont="1" applyFill="1" applyBorder="1" applyProtection="1">
      <alignment vertical="center"/>
      <protection locked="0"/>
    </xf>
    <xf numFmtId="0" fontId="8" fillId="0" borderId="84" xfId="3" applyFont="1" applyBorder="1" applyAlignment="1" applyProtection="1">
      <alignment horizontal="left" vertical="center" shrinkToFit="1"/>
      <protection locked="0"/>
    </xf>
    <xf numFmtId="0" fontId="31" fillId="0" borderId="54" xfId="0" applyFont="1" applyBorder="1" applyProtection="1">
      <alignment vertical="center"/>
      <protection locked="0"/>
    </xf>
    <xf numFmtId="0" fontId="31" fillId="3" borderId="34" xfId="0" applyFont="1" applyFill="1" applyBorder="1" applyAlignment="1" applyProtection="1">
      <alignment horizontal="left" vertical="center"/>
      <protection locked="0"/>
    </xf>
    <xf numFmtId="0" fontId="31" fillId="3" borderId="60" xfId="0" applyFont="1" applyFill="1" applyBorder="1" applyAlignment="1" applyProtection="1">
      <alignment horizontal="left" vertical="center"/>
      <protection locked="0"/>
    </xf>
    <xf numFmtId="41" fontId="31" fillId="0" borderId="41" xfId="1" applyFont="1" applyFill="1" applyBorder="1" applyAlignment="1" applyProtection="1">
      <alignment horizontal="left" vertical="center"/>
      <protection locked="0"/>
    </xf>
    <xf numFmtId="185" fontId="8" fillId="11" borderId="0" xfId="2" applyNumberFormat="1" applyFont="1" applyFill="1" applyBorder="1" applyAlignment="1" applyProtection="1">
      <alignment vertical="center" shrinkToFit="1"/>
      <protection hidden="1"/>
    </xf>
    <xf numFmtId="9" fontId="0" fillId="23" borderId="74" xfId="0" applyNumberFormat="1" applyFill="1" applyBorder="1" applyAlignment="1" applyProtection="1">
      <alignment horizontal="center" vertical="center"/>
      <protection hidden="1"/>
    </xf>
    <xf numFmtId="0" fontId="0" fillId="23" borderId="0" xfId="0" applyFill="1" applyProtection="1">
      <alignment vertical="center"/>
      <protection hidden="1"/>
    </xf>
    <xf numFmtId="0" fontId="0" fillId="23" borderId="54" xfId="0" applyFill="1" applyBorder="1" applyProtection="1">
      <alignment vertical="center"/>
      <protection hidden="1"/>
    </xf>
    <xf numFmtId="0" fontId="0" fillId="23" borderId="34" xfId="0" applyFill="1" applyBorder="1" applyProtection="1">
      <alignment vertical="center"/>
      <protection hidden="1"/>
    </xf>
    <xf numFmtId="0" fontId="0" fillId="23" borderId="34" xfId="0" applyFill="1" applyBorder="1" applyAlignment="1" applyProtection="1">
      <alignment horizontal="center" vertical="center"/>
      <protection hidden="1"/>
    </xf>
    <xf numFmtId="0" fontId="0" fillId="23" borderId="36" xfId="0" applyFill="1" applyBorder="1" applyAlignment="1" applyProtection="1">
      <alignment horizontal="center" vertical="center"/>
      <protection hidden="1"/>
    </xf>
    <xf numFmtId="0" fontId="0" fillId="23" borderId="32" xfId="0" applyFill="1" applyBorder="1" applyAlignment="1" applyProtection="1">
      <alignment horizontal="center" vertical="center"/>
      <protection hidden="1"/>
    </xf>
    <xf numFmtId="0" fontId="0" fillId="23" borderId="57" xfId="0" applyFill="1" applyBorder="1" applyProtection="1">
      <alignment vertical="center"/>
      <protection hidden="1"/>
    </xf>
    <xf numFmtId="10" fontId="0" fillId="23" borderId="44" xfId="2" applyNumberFormat="1" applyFont="1" applyFill="1" applyBorder="1" applyAlignment="1" applyProtection="1">
      <alignment horizontal="center" vertical="center"/>
      <protection hidden="1"/>
    </xf>
    <xf numFmtId="185" fontId="0" fillId="23" borderId="43" xfId="2" applyNumberFormat="1" applyFont="1" applyFill="1" applyBorder="1" applyAlignment="1" applyProtection="1">
      <alignment horizontal="center" vertical="center"/>
      <protection hidden="1"/>
    </xf>
    <xf numFmtId="10" fontId="0" fillId="23" borderId="43" xfId="2" applyNumberFormat="1" applyFont="1" applyFill="1" applyBorder="1" applyAlignment="1" applyProtection="1">
      <alignment horizontal="center" vertical="center"/>
      <protection hidden="1"/>
    </xf>
    <xf numFmtId="10" fontId="0" fillId="23" borderId="69" xfId="2" applyNumberFormat="1" applyFont="1" applyFill="1" applyBorder="1" applyAlignment="1" applyProtection="1">
      <alignment horizontal="center" vertical="center"/>
      <protection hidden="1"/>
    </xf>
    <xf numFmtId="184" fontId="30" fillId="23" borderId="71" xfId="2" applyNumberFormat="1" applyFont="1" applyFill="1" applyBorder="1" applyAlignment="1" applyProtection="1">
      <alignment vertical="center"/>
      <protection hidden="1"/>
    </xf>
    <xf numFmtId="184" fontId="30" fillId="23" borderId="80" xfId="2" applyNumberFormat="1" applyFont="1" applyFill="1" applyBorder="1" applyAlignment="1" applyProtection="1">
      <alignment vertical="center"/>
      <protection hidden="1"/>
    </xf>
    <xf numFmtId="41" fontId="30" fillId="23" borderId="41" xfId="1" applyFont="1" applyFill="1" applyBorder="1" applyAlignment="1" applyProtection="1">
      <alignment vertical="center"/>
      <protection hidden="1"/>
    </xf>
    <xf numFmtId="41" fontId="30" fillId="23" borderId="198" xfId="1" applyFont="1" applyFill="1" applyBorder="1" applyAlignment="1" applyProtection="1">
      <alignment vertical="center"/>
      <protection hidden="1"/>
    </xf>
    <xf numFmtId="41" fontId="30" fillId="23" borderId="77" xfId="1" applyFont="1" applyFill="1" applyBorder="1" applyAlignment="1" applyProtection="1">
      <alignment vertical="center"/>
      <protection hidden="1"/>
    </xf>
    <xf numFmtId="41" fontId="30" fillId="23" borderId="202" xfId="1" applyFont="1" applyFill="1" applyBorder="1" applyAlignment="1" applyProtection="1">
      <alignment vertical="center"/>
      <protection hidden="1"/>
    </xf>
    <xf numFmtId="10" fontId="0" fillId="23" borderId="57" xfId="2" applyNumberFormat="1" applyFont="1" applyFill="1" applyBorder="1" applyAlignment="1" applyProtection="1">
      <alignment horizontal="center" vertical="center"/>
      <protection hidden="1"/>
    </xf>
    <xf numFmtId="185" fontId="0" fillId="23" borderId="58" xfId="2" applyNumberFormat="1" applyFont="1" applyFill="1" applyBorder="1" applyAlignment="1" applyProtection="1">
      <alignment horizontal="center" vertical="center"/>
      <protection hidden="1"/>
    </xf>
    <xf numFmtId="10" fontId="0" fillId="23" borderId="47" xfId="2" applyNumberFormat="1" applyFont="1" applyFill="1" applyBorder="1" applyAlignment="1" applyProtection="1">
      <alignment horizontal="center" vertical="center"/>
      <protection hidden="1"/>
    </xf>
    <xf numFmtId="0" fontId="74" fillId="23" borderId="48" xfId="0" applyFont="1" applyFill="1" applyBorder="1" applyAlignment="1" applyProtection="1">
      <alignment horizontal="center" vertical="center" wrapText="1"/>
      <protection hidden="1"/>
    </xf>
    <xf numFmtId="0" fontId="74" fillId="23" borderId="51" xfId="0" applyFont="1" applyFill="1" applyBorder="1" applyAlignment="1" applyProtection="1">
      <alignment horizontal="center" vertical="center" wrapText="1"/>
      <protection hidden="1"/>
    </xf>
    <xf numFmtId="0" fontId="74" fillId="23" borderId="52" xfId="0" applyFont="1" applyFill="1" applyBorder="1" applyAlignment="1" applyProtection="1">
      <alignment horizontal="center" vertical="center" wrapText="1"/>
      <protection hidden="1"/>
    </xf>
    <xf numFmtId="0" fontId="39" fillId="23" borderId="49" xfId="0" applyFont="1" applyFill="1" applyBorder="1" applyAlignment="1" applyProtection="1">
      <alignment horizontal="center" vertical="center" wrapText="1"/>
      <protection hidden="1"/>
    </xf>
    <xf numFmtId="0" fontId="74" fillId="23" borderId="50" xfId="0" applyFont="1" applyFill="1" applyBorder="1" applyAlignment="1" applyProtection="1">
      <alignment horizontal="center" vertical="center" wrapText="1"/>
      <protection hidden="1"/>
    </xf>
    <xf numFmtId="0" fontId="75" fillId="23" borderId="48" xfId="0" applyFont="1" applyFill="1" applyBorder="1" applyAlignment="1" applyProtection="1">
      <alignment horizontal="center" vertical="center" wrapText="1"/>
      <protection hidden="1"/>
    </xf>
    <xf numFmtId="0" fontId="74" fillId="23" borderId="74" xfId="0" applyFont="1" applyFill="1" applyBorder="1" applyAlignment="1" applyProtection="1">
      <alignment horizontal="center" vertical="center" wrapText="1"/>
      <protection hidden="1"/>
    </xf>
    <xf numFmtId="0" fontId="74" fillId="23" borderId="203" xfId="0" applyFont="1" applyFill="1" applyBorder="1" applyAlignment="1" applyProtection="1">
      <alignment horizontal="center" vertical="center" wrapText="1"/>
      <protection hidden="1"/>
    </xf>
    <xf numFmtId="0" fontId="13" fillId="24" borderId="54" xfId="0" applyFont="1" applyFill="1" applyBorder="1" applyProtection="1">
      <alignment vertical="center"/>
      <protection locked="0"/>
    </xf>
    <xf numFmtId="0" fontId="13" fillId="24" borderId="56" xfId="0" applyFont="1" applyFill="1" applyBorder="1" applyProtection="1">
      <alignment vertical="center"/>
      <protection locked="0"/>
    </xf>
    <xf numFmtId="41" fontId="13" fillId="24" borderId="56" xfId="1" applyFont="1" applyFill="1" applyBorder="1" applyProtection="1">
      <alignment vertical="center"/>
      <protection locked="0"/>
    </xf>
    <xf numFmtId="41" fontId="13" fillId="24" borderId="30" xfId="1" applyFont="1" applyFill="1" applyBorder="1" applyProtection="1">
      <alignment vertical="center"/>
      <protection locked="0"/>
    </xf>
    <xf numFmtId="41" fontId="30" fillId="23" borderId="26" xfId="1" applyFont="1" applyFill="1" applyBorder="1" applyProtection="1">
      <alignment vertical="center"/>
      <protection hidden="1"/>
    </xf>
    <xf numFmtId="41" fontId="13" fillId="23" borderId="28" xfId="1" applyFont="1" applyFill="1" applyBorder="1" applyProtection="1">
      <alignment vertical="center"/>
      <protection locked="0"/>
    </xf>
    <xf numFmtId="41" fontId="13" fillId="23" borderId="36" xfId="1" applyFont="1" applyFill="1" applyBorder="1" applyProtection="1">
      <alignment vertical="center"/>
      <protection locked="0"/>
    </xf>
    <xf numFmtId="41" fontId="13" fillId="23" borderId="30" xfId="1" applyFont="1" applyFill="1" applyBorder="1" applyProtection="1">
      <alignment vertical="center"/>
      <protection locked="0"/>
    </xf>
    <xf numFmtId="41" fontId="30" fillId="23" borderId="26" xfId="1" applyFont="1" applyFill="1" applyBorder="1" applyProtection="1">
      <alignment vertical="center"/>
      <protection locked="0"/>
    </xf>
    <xf numFmtId="41" fontId="30" fillId="23" borderId="88" xfId="1" applyFont="1" applyFill="1" applyBorder="1" applyProtection="1">
      <alignment vertical="center"/>
      <protection locked="0"/>
    </xf>
    <xf numFmtId="41" fontId="30" fillId="23" borderId="84" xfId="1" applyFont="1" applyFill="1" applyBorder="1" applyProtection="1">
      <alignment vertical="center"/>
      <protection locked="0"/>
    </xf>
    <xf numFmtId="0" fontId="76" fillId="24" borderId="54" xfId="0" applyFont="1" applyFill="1" applyBorder="1" applyProtection="1">
      <alignment vertical="center"/>
      <protection locked="0"/>
    </xf>
    <xf numFmtId="0" fontId="0" fillId="23" borderId="25" xfId="0" applyFill="1" applyBorder="1" applyProtection="1">
      <alignment vertical="center"/>
      <protection locked="0"/>
    </xf>
    <xf numFmtId="0" fontId="26" fillId="23" borderId="204" xfId="0" applyFont="1" applyFill="1" applyBorder="1" applyAlignment="1" applyProtection="1">
      <alignment horizontal="center" vertical="center"/>
      <protection hidden="1"/>
    </xf>
    <xf numFmtId="0" fontId="13" fillId="24" borderId="34" xfId="0" applyFont="1" applyFill="1" applyBorder="1" applyProtection="1">
      <alignment vertical="center"/>
      <protection locked="0"/>
    </xf>
    <xf numFmtId="0" fontId="13" fillId="24" borderId="36" xfId="0" applyFont="1" applyFill="1" applyBorder="1" applyProtection="1">
      <alignment vertical="center"/>
      <protection locked="0"/>
    </xf>
    <xf numFmtId="41" fontId="13" fillId="24" borderId="36" xfId="1" applyFont="1" applyFill="1" applyBorder="1" applyProtection="1">
      <alignment vertical="center"/>
      <protection locked="0"/>
    </xf>
    <xf numFmtId="41" fontId="13" fillId="24" borderId="41" xfId="1" applyFont="1" applyFill="1" applyBorder="1" applyProtection="1">
      <alignment vertical="center"/>
      <protection locked="0"/>
    </xf>
    <xf numFmtId="41" fontId="13" fillId="23" borderId="41" xfId="1" applyFont="1" applyFill="1" applyBorder="1" applyProtection="1">
      <alignment vertical="center"/>
      <protection locked="0"/>
    </xf>
    <xf numFmtId="0" fontId="76" fillId="24" borderId="34" xfId="0" applyFont="1" applyFill="1" applyBorder="1" applyProtection="1">
      <alignment vertical="center"/>
      <protection locked="0"/>
    </xf>
    <xf numFmtId="0" fontId="0" fillId="23" borderId="32" xfId="0" applyFill="1" applyBorder="1" applyProtection="1">
      <alignment vertical="center"/>
      <protection locked="0"/>
    </xf>
    <xf numFmtId="0" fontId="0" fillId="23" borderId="54" xfId="0" applyFill="1" applyBorder="1" applyAlignment="1" applyProtection="1">
      <alignment horizontal="center" vertical="center" shrinkToFit="1"/>
      <protection hidden="1"/>
    </xf>
    <xf numFmtId="0" fontId="0" fillId="23" borderId="56" xfId="0" applyFill="1" applyBorder="1" applyAlignment="1" applyProtection="1">
      <alignment horizontal="center" vertical="center" shrinkToFit="1"/>
      <protection hidden="1"/>
    </xf>
    <xf numFmtId="0" fontId="0" fillId="23" borderId="25" xfId="0" applyFill="1" applyBorder="1" applyAlignment="1" applyProtection="1">
      <alignment horizontal="center" vertical="center" shrinkToFit="1"/>
      <protection hidden="1"/>
    </xf>
    <xf numFmtId="0" fontId="0" fillId="23" borderId="34" xfId="0" applyFill="1" applyBorder="1" applyAlignment="1" applyProtection="1">
      <alignment horizontal="left" vertical="center" shrinkToFit="1"/>
      <protection hidden="1"/>
    </xf>
    <xf numFmtId="41" fontId="0" fillId="23" borderId="36" xfId="1" applyFont="1" applyFill="1" applyBorder="1" applyAlignment="1" applyProtection="1">
      <alignment vertical="center" shrinkToFit="1"/>
      <protection hidden="1"/>
    </xf>
    <xf numFmtId="41" fontId="76" fillId="23" borderId="32" xfId="1" applyFont="1" applyFill="1" applyBorder="1" applyAlignment="1" applyProtection="1">
      <alignment vertical="center" shrinkToFit="1"/>
      <protection hidden="1"/>
    </xf>
    <xf numFmtId="0" fontId="0" fillId="23" borderId="57" xfId="0" applyFill="1" applyBorder="1" applyAlignment="1" applyProtection="1">
      <alignment horizontal="left" vertical="center" shrinkToFit="1"/>
      <protection hidden="1"/>
    </xf>
    <xf numFmtId="41" fontId="0" fillId="23" borderId="58" xfId="1" applyFont="1" applyFill="1" applyBorder="1" applyAlignment="1" applyProtection="1">
      <alignment vertical="center" shrinkToFit="1"/>
      <protection hidden="1"/>
    </xf>
    <xf numFmtId="41" fontId="76" fillId="23" borderId="47" xfId="1" applyFont="1" applyFill="1" applyBorder="1" applyAlignment="1" applyProtection="1">
      <alignment vertical="center" shrinkToFit="1"/>
      <protection hidden="1"/>
    </xf>
    <xf numFmtId="41" fontId="13" fillId="24" borderId="199" xfId="1" applyFont="1" applyFill="1" applyBorder="1" applyProtection="1">
      <alignment vertical="center"/>
      <protection locked="0"/>
    </xf>
    <xf numFmtId="0" fontId="13" fillId="24" borderId="44" xfId="0" applyFont="1" applyFill="1" applyBorder="1" applyProtection="1">
      <alignment vertical="center"/>
      <protection locked="0"/>
    </xf>
    <xf numFmtId="0" fontId="13" fillId="24" borderId="43" xfId="0" applyFont="1" applyFill="1" applyBorder="1" applyProtection="1">
      <alignment vertical="center"/>
      <protection locked="0"/>
    </xf>
    <xf numFmtId="41" fontId="13" fillId="24" borderId="43" xfId="1" applyFont="1" applyFill="1" applyBorder="1" applyProtection="1">
      <alignment vertical="center"/>
      <protection locked="0"/>
    </xf>
    <xf numFmtId="41" fontId="13" fillId="23" borderId="44" xfId="1" applyFont="1" applyFill="1" applyBorder="1" applyProtection="1">
      <alignment vertical="center"/>
      <protection locked="0"/>
    </xf>
    <xf numFmtId="41" fontId="13" fillId="23" borderId="43" xfId="1" applyFont="1" applyFill="1" applyBorder="1" applyProtection="1">
      <alignment vertical="center"/>
      <protection locked="0"/>
    </xf>
    <xf numFmtId="41" fontId="13" fillId="23" borderId="201" xfId="1" applyFont="1" applyFill="1" applyBorder="1" applyProtection="1">
      <alignment vertical="center"/>
      <protection locked="0"/>
    </xf>
    <xf numFmtId="41" fontId="30" fillId="23" borderId="116" xfId="1" applyFont="1" applyFill="1" applyBorder="1" applyProtection="1">
      <alignment vertical="center"/>
      <protection locked="0"/>
    </xf>
    <xf numFmtId="41" fontId="30" fillId="23" borderId="82" xfId="1" applyFont="1" applyFill="1" applyBorder="1" applyProtection="1">
      <alignment vertical="center"/>
      <protection locked="0"/>
    </xf>
    <xf numFmtId="41" fontId="30" fillId="23" borderId="226" xfId="1" applyFont="1" applyFill="1" applyBorder="1" applyProtection="1">
      <alignment vertical="center"/>
      <protection locked="0"/>
    </xf>
    <xf numFmtId="0" fontId="76" fillId="24" borderId="44" xfId="0" applyFont="1" applyFill="1" applyBorder="1" applyProtection="1">
      <alignment vertical="center"/>
      <protection locked="0"/>
    </xf>
    <xf numFmtId="0" fontId="0" fillId="23" borderId="69" xfId="0" applyFill="1" applyBorder="1" applyProtection="1">
      <alignment vertical="center"/>
      <protection locked="0"/>
    </xf>
    <xf numFmtId="41" fontId="30" fillId="24" borderId="231" xfId="1" applyFont="1" applyFill="1" applyBorder="1" applyProtection="1">
      <alignment vertical="center"/>
      <protection hidden="1"/>
    </xf>
    <xf numFmtId="41" fontId="30" fillId="24" borderId="232" xfId="1" applyFont="1" applyFill="1" applyBorder="1" applyProtection="1">
      <alignment vertical="center"/>
      <protection hidden="1"/>
    </xf>
    <xf numFmtId="41" fontId="30" fillId="24" borderId="233" xfId="1" applyFont="1" applyFill="1" applyBorder="1" applyProtection="1">
      <alignment vertical="center"/>
      <protection hidden="1"/>
    </xf>
    <xf numFmtId="41" fontId="30" fillId="24" borderId="234" xfId="1" applyFont="1" applyFill="1" applyBorder="1" applyProtection="1">
      <alignment vertical="center"/>
      <protection hidden="1"/>
    </xf>
    <xf numFmtId="41" fontId="30" fillId="23" borderId="232" xfId="1" applyFont="1" applyFill="1" applyBorder="1" applyProtection="1">
      <alignment vertical="center"/>
      <protection hidden="1"/>
    </xf>
    <xf numFmtId="0" fontId="0" fillId="11" borderId="235" xfId="0" applyFill="1" applyBorder="1" applyProtection="1">
      <alignment vertical="center"/>
      <protection hidden="1"/>
    </xf>
    <xf numFmtId="0" fontId="74" fillId="23" borderId="17" xfId="0" applyFont="1" applyFill="1" applyBorder="1" applyAlignment="1" applyProtection="1">
      <alignment horizontal="center" vertical="center" wrapText="1"/>
      <protection hidden="1"/>
    </xf>
    <xf numFmtId="0" fontId="74" fillId="23" borderId="21" xfId="0" applyFont="1" applyFill="1" applyBorder="1" applyAlignment="1" applyProtection="1">
      <alignment horizontal="center" vertical="center" wrapText="1"/>
      <protection hidden="1"/>
    </xf>
    <xf numFmtId="0" fontId="74" fillId="23" borderId="75" xfId="0" applyFont="1" applyFill="1" applyBorder="1" applyAlignment="1" applyProtection="1">
      <alignment horizontal="center" vertical="center" wrapText="1"/>
      <protection hidden="1"/>
    </xf>
    <xf numFmtId="0" fontId="39" fillId="23" borderId="19" xfId="0" applyFont="1" applyFill="1" applyBorder="1" applyAlignment="1" applyProtection="1">
      <alignment horizontal="center" vertical="center" wrapText="1"/>
      <protection hidden="1"/>
    </xf>
    <xf numFmtId="0" fontId="74" fillId="23" borderId="20" xfId="0" applyFont="1" applyFill="1" applyBorder="1" applyAlignment="1" applyProtection="1">
      <alignment horizontal="center" vertical="center" wrapText="1"/>
      <protection hidden="1"/>
    </xf>
    <xf numFmtId="0" fontId="75" fillId="23" borderId="17" xfId="0" applyFont="1" applyFill="1" applyBorder="1" applyAlignment="1" applyProtection="1">
      <alignment horizontal="center" vertical="center" wrapText="1"/>
      <protection hidden="1"/>
    </xf>
    <xf numFmtId="0" fontId="74" fillId="23" borderId="18" xfId="0" applyFont="1" applyFill="1" applyBorder="1" applyAlignment="1" applyProtection="1">
      <alignment horizontal="center" vertical="center" wrapText="1"/>
      <protection hidden="1"/>
    </xf>
    <xf numFmtId="0" fontId="74" fillId="23" borderId="232" xfId="0" applyFont="1" applyFill="1" applyBorder="1" applyAlignment="1" applyProtection="1">
      <alignment horizontal="center" vertical="center" wrapText="1"/>
      <protection hidden="1"/>
    </xf>
    <xf numFmtId="0" fontId="13" fillId="6" borderId="205" xfId="0" applyFont="1" applyFill="1" applyBorder="1" applyProtection="1">
      <alignment vertical="center"/>
      <protection locked="0"/>
    </xf>
    <xf numFmtId="0" fontId="13" fillId="6" borderId="206" xfId="0" applyFont="1" applyFill="1" applyBorder="1" applyProtection="1">
      <alignment vertical="center"/>
      <protection locked="0"/>
    </xf>
    <xf numFmtId="41" fontId="13" fillId="6" borderId="206" xfId="1" applyFont="1" applyFill="1" applyBorder="1" applyProtection="1">
      <alignment vertical="center"/>
      <protection locked="0"/>
    </xf>
    <xf numFmtId="41" fontId="13" fillId="6" borderId="207" xfId="1" applyFont="1" applyFill="1" applyBorder="1" applyProtection="1">
      <alignment vertical="center"/>
      <protection locked="0"/>
    </xf>
    <xf numFmtId="41" fontId="30" fillId="23" borderId="208" xfId="1" applyFont="1" applyFill="1" applyBorder="1" applyProtection="1">
      <alignment vertical="center"/>
      <protection hidden="1"/>
    </xf>
    <xf numFmtId="41" fontId="13" fillId="23" borderId="205" xfId="1" applyFont="1" applyFill="1" applyBorder="1" applyProtection="1">
      <alignment vertical="center"/>
      <protection locked="0"/>
    </xf>
    <xf numFmtId="41" fontId="13" fillId="23" borderId="206" xfId="1" applyFont="1" applyFill="1" applyBorder="1" applyProtection="1">
      <alignment vertical="center"/>
      <protection locked="0"/>
    </xf>
    <xf numFmtId="41" fontId="13" fillId="23" borderId="236" xfId="1" applyFont="1" applyFill="1" applyBorder="1" applyProtection="1">
      <alignment vertical="center"/>
      <protection locked="0"/>
    </xf>
    <xf numFmtId="41" fontId="30" fillId="23" borderId="208" xfId="1" applyFont="1" applyFill="1" applyBorder="1" applyProtection="1">
      <alignment vertical="center"/>
      <protection locked="0"/>
    </xf>
    <xf numFmtId="41" fontId="30" fillId="23" borderId="228" xfId="1" applyFont="1" applyFill="1" applyBorder="1" applyProtection="1">
      <alignment vertical="center"/>
      <protection locked="0"/>
    </xf>
    <xf numFmtId="0" fontId="76" fillId="6" borderId="205" xfId="0" applyFont="1" applyFill="1" applyBorder="1" applyProtection="1">
      <alignment vertical="center"/>
      <protection locked="0"/>
    </xf>
    <xf numFmtId="0" fontId="0" fillId="23" borderId="207" xfId="0" applyFill="1" applyBorder="1" applyProtection="1">
      <alignment vertical="center"/>
      <protection locked="0"/>
    </xf>
    <xf numFmtId="0" fontId="13" fillId="6" borderId="34" xfId="0" applyFont="1" applyFill="1" applyBorder="1" applyProtection="1">
      <alignment vertical="center"/>
      <protection locked="0"/>
    </xf>
    <xf numFmtId="0" fontId="13" fillId="6" borderId="36" xfId="0" applyFont="1" applyFill="1" applyBorder="1" applyProtection="1">
      <alignment vertical="center"/>
      <protection locked="0"/>
    </xf>
    <xf numFmtId="41" fontId="13" fillId="6" borderId="36" xfId="1" applyFont="1" applyFill="1" applyBorder="1" applyProtection="1">
      <alignment vertical="center"/>
      <protection locked="0"/>
    </xf>
    <xf numFmtId="41" fontId="13" fillId="6" borderId="32" xfId="1" applyFont="1" applyFill="1" applyBorder="1" applyProtection="1">
      <alignment vertical="center"/>
      <protection locked="0"/>
    </xf>
    <xf numFmtId="41" fontId="13" fillId="23" borderId="35" xfId="1" applyFont="1" applyFill="1" applyBorder="1" applyProtection="1">
      <alignment vertical="center"/>
      <protection locked="0"/>
    </xf>
    <xf numFmtId="0" fontId="76" fillId="6" borderId="34" xfId="0" applyFont="1" applyFill="1" applyBorder="1" applyProtection="1">
      <alignment vertical="center"/>
      <protection locked="0"/>
    </xf>
    <xf numFmtId="41" fontId="13" fillId="6" borderId="41" xfId="1" applyFont="1" applyFill="1" applyBorder="1" applyProtection="1">
      <alignment vertical="center"/>
      <protection locked="0"/>
    </xf>
    <xf numFmtId="0" fontId="13" fillId="6" borderId="57" xfId="0" applyFont="1" applyFill="1" applyBorder="1" applyProtection="1">
      <alignment vertical="center"/>
      <protection locked="0"/>
    </xf>
    <xf numFmtId="0" fontId="13" fillId="6" borderId="58" xfId="0" applyFont="1" applyFill="1" applyBorder="1" applyProtection="1">
      <alignment vertical="center"/>
      <protection locked="0"/>
    </xf>
    <xf numFmtId="41" fontId="13" fillId="6" borderId="77" xfId="1" applyFont="1" applyFill="1" applyBorder="1" applyProtection="1">
      <alignment vertical="center"/>
      <protection locked="0"/>
    </xf>
    <xf numFmtId="41" fontId="13" fillId="23" borderId="60" xfId="1" applyFont="1" applyFill="1" applyBorder="1" applyProtection="1">
      <alignment vertical="center"/>
      <protection locked="0"/>
    </xf>
    <xf numFmtId="0" fontId="76" fillId="6" borderId="57" xfId="0" applyFont="1" applyFill="1" applyBorder="1" applyProtection="1">
      <alignment vertical="center"/>
      <protection locked="0"/>
    </xf>
    <xf numFmtId="0" fontId="0" fillId="23" borderId="47" xfId="0" applyFill="1" applyBorder="1" applyProtection="1">
      <alignment vertical="center"/>
      <protection locked="0"/>
    </xf>
    <xf numFmtId="41" fontId="30" fillId="6" borderId="74" xfId="1" applyFont="1" applyFill="1" applyBorder="1" applyProtection="1">
      <alignment vertical="center"/>
      <protection hidden="1"/>
    </xf>
    <xf numFmtId="41" fontId="30" fillId="6" borderId="49" xfId="1" applyFont="1" applyFill="1" applyBorder="1" applyProtection="1">
      <alignment vertical="center"/>
      <protection hidden="1"/>
    </xf>
    <xf numFmtId="41" fontId="30" fillId="6" borderId="50" xfId="1" applyFont="1" applyFill="1" applyBorder="1" applyProtection="1">
      <alignment vertical="center"/>
      <protection hidden="1"/>
    </xf>
    <xf numFmtId="41" fontId="30" fillId="6" borderId="51" xfId="1" applyFont="1" applyFill="1" applyBorder="1" applyProtection="1">
      <alignment vertical="center"/>
      <protection hidden="1"/>
    </xf>
    <xf numFmtId="41" fontId="30" fillId="23" borderId="49" xfId="1" applyFont="1" applyFill="1" applyBorder="1" applyProtection="1">
      <alignment vertical="center"/>
      <protection hidden="1"/>
    </xf>
    <xf numFmtId="41" fontId="30" fillId="3" borderId="74" xfId="1" applyFont="1" applyFill="1" applyBorder="1" applyProtection="1">
      <alignment vertical="center"/>
      <protection hidden="1"/>
    </xf>
    <xf numFmtId="41" fontId="30" fillId="3" borderId="49" xfId="1" applyFont="1" applyFill="1" applyBorder="1" applyProtection="1">
      <alignment vertical="center"/>
      <protection hidden="1"/>
    </xf>
    <xf numFmtId="41" fontId="30" fillId="3" borderId="50" xfId="1" applyFont="1" applyFill="1" applyBorder="1" applyProtection="1">
      <alignment vertical="center"/>
      <protection hidden="1"/>
    </xf>
    <xf numFmtId="49" fontId="28" fillId="23" borderId="56" xfId="0" applyNumberFormat="1" applyFont="1" applyFill="1" applyBorder="1" applyProtection="1">
      <alignment vertical="center"/>
      <protection hidden="1"/>
    </xf>
    <xf numFmtId="0" fontId="28" fillId="23" borderId="56" xfId="0" applyFont="1" applyFill="1" applyBorder="1" applyProtection="1">
      <alignment vertical="center"/>
      <protection hidden="1"/>
    </xf>
    <xf numFmtId="0" fontId="28" fillId="23" borderId="25" xfId="0" applyFont="1" applyFill="1" applyBorder="1" applyProtection="1">
      <alignment vertical="center"/>
      <protection hidden="1"/>
    </xf>
    <xf numFmtId="0" fontId="28" fillId="23" borderId="36" xfId="0" applyFont="1" applyFill="1" applyBorder="1" applyProtection="1">
      <alignment vertical="center"/>
      <protection hidden="1"/>
    </xf>
    <xf numFmtId="0" fontId="28" fillId="23" borderId="32" xfId="0" applyFont="1" applyFill="1" applyBorder="1" applyProtection="1">
      <alignment vertical="center"/>
      <protection hidden="1"/>
    </xf>
    <xf numFmtId="0" fontId="28" fillId="23" borderId="58" xfId="0" applyFont="1" applyFill="1" applyBorder="1" applyProtection="1">
      <alignment vertical="center"/>
      <protection hidden="1"/>
    </xf>
    <xf numFmtId="0" fontId="28" fillId="23" borderId="47" xfId="0" applyFont="1" applyFill="1" applyBorder="1" applyProtection="1">
      <alignment vertical="center"/>
      <protection hidden="1"/>
    </xf>
    <xf numFmtId="0" fontId="78" fillId="9" borderId="22" xfId="0" applyFont="1" applyFill="1" applyBorder="1" applyAlignment="1">
      <alignment vertical="center" wrapText="1"/>
    </xf>
    <xf numFmtId="0" fontId="78" fillId="9" borderId="23" xfId="0" applyFont="1" applyFill="1" applyBorder="1" applyAlignment="1">
      <alignment vertical="center" wrapText="1"/>
    </xf>
    <xf numFmtId="0" fontId="78" fillId="16" borderId="22" xfId="0" applyFont="1" applyFill="1" applyBorder="1" applyAlignment="1">
      <alignment vertical="center" wrapText="1"/>
    </xf>
    <xf numFmtId="0" fontId="78" fillId="16" borderId="23" xfId="0" applyFont="1" applyFill="1" applyBorder="1" applyAlignment="1">
      <alignment vertical="center" wrapText="1"/>
    </xf>
    <xf numFmtId="0" fontId="78" fillId="12" borderId="22" xfId="0" applyFont="1" applyFill="1" applyBorder="1" applyAlignment="1">
      <alignment vertical="center" wrapText="1"/>
    </xf>
    <xf numFmtId="0" fontId="78" fillId="12" borderId="23" xfId="0" applyFont="1" applyFill="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92" xfId="0" applyFont="1" applyBorder="1" applyAlignment="1">
      <alignment vertical="center" wrapText="1"/>
    </xf>
    <xf numFmtId="0" fontId="2" fillId="0" borderId="3" xfId="0" applyFont="1" applyBorder="1" applyAlignment="1">
      <alignment vertical="center" wrapText="1"/>
    </xf>
    <xf numFmtId="0" fontId="2" fillId="0" borderId="93" xfId="0" applyFont="1" applyBorder="1" applyAlignment="1">
      <alignment vertical="center" wrapText="1"/>
    </xf>
    <xf numFmtId="0" fontId="0" fillId="23" borderId="22" xfId="0" applyFill="1" applyBorder="1" applyProtection="1">
      <alignment vertical="center"/>
      <protection hidden="1"/>
    </xf>
    <xf numFmtId="0" fontId="0" fillId="23" borderId="50" xfId="0" applyFill="1" applyBorder="1" applyProtection="1">
      <alignment vertical="center"/>
      <protection hidden="1"/>
    </xf>
    <xf numFmtId="0" fontId="0" fillId="23" borderId="56" xfId="0" applyFill="1" applyBorder="1" applyProtection="1">
      <alignment vertical="center"/>
      <protection hidden="1"/>
    </xf>
    <xf numFmtId="0" fontId="0" fillId="23" borderId="25" xfId="0" applyFill="1" applyBorder="1" applyProtection="1">
      <alignment vertical="center"/>
      <protection hidden="1"/>
    </xf>
    <xf numFmtId="0" fontId="8" fillId="23" borderId="79" xfId="0" applyFont="1" applyFill="1" applyBorder="1" applyAlignment="1" applyProtection="1">
      <alignment vertical="center" shrinkToFit="1"/>
      <protection hidden="1"/>
    </xf>
    <xf numFmtId="0" fontId="8" fillId="23" borderId="55" xfId="0" applyFont="1" applyFill="1" applyBorder="1" applyAlignment="1" applyProtection="1">
      <alignment vertical="center" shrinkToFit="1"/>
      <protection hidden="1"/>
    </xf>
    <xf numFmtId="0" fontId="13" fillId="23" borderId="84" xfId="0" applyFont="1" applyFill="1" applyBorder="1" applyProtection="1">
      <alignment vertical="center"/>
      <protection hidden="1"/>
    </xf>
    <xf numFmtId="0" fontId="13" fillId="23" borderId="35" xfId="0" applyFont="1" applyFill="1" applyBorder="1" applyProtection="1">
      <alignment vertical="center"/>
      <protection hidden="1"/>
    </xf>
    <xf numFmtId="0" fontId="30" fillId="3" borderId="22" xfId="0" applyFont="1" applyFill="1" applyBorder="1" applyProtection="1">
      <alignment vertical="center"/>
      <protection hidden="1"/>
    </xf>
    <xf numFmtId="0" fontId="30" fillId="3" borderId="24" xfId="0" applyFont="1" applyFill="1" applyBorder="1" applyProtection="1">
      <alignment vertical="center"/>
      <protection hidden="1"/>
    </xf>
    <xf numFmtId="0" fontId="13" fillId="23" borderId="83" xfId="0" applyFont="1" applyFill="1" applyBorder="1" applyProtection="1">
      <alignment vertical="center"/>
      <protection hidden="1"/>
    </xf>
    <xf numFmtId="0" fontId="13" fillId="23" borderId="60" xfId="0" applyFont="1" applyFill="1" applyBorder="1" applyProtection="1">
      <alignment vertical="center"/>
      <protection hidden="1"/>
    </xf>
    <xf numFmtId="0" fontId="29" fillId="23" borderId="67" xfId="0" applyFont="1" applyFill="1" applyBorder="1" applyProtection="1">
      <alignment vertical="center"/>
      <protection hidden="1"/>
    </xf>
    <xf numFmtId="0" fontId="29" fillId="23" borderId="68" xfId="0" applyFont="1" applyFill="1" applyBorder="1" applyProtection="1">
      <alignment vertical="center"/>
      <protection hidden="1"/>
    </xf>
    <xf numFmtId="0" fontId="29" fillId="23" borderId="86" xfId="0" applyFont="1" applyFill="1" applyBorder="1" applyProtection="1">
      <alignment vertical="center"/>
      <protection hidden="1"/>
    </xf>
    <xf numFmtId="0" fontId="29" fillId="23" borderId="87" xfId="0" applyFont="1" applyFill="1" applyBorder="1" applyProtection="1">
      <alignment vertical="center"/>
      <protection hidden="1"/>
    </xf>
    <xf numFmtId="0" fontId="30" fillId="24" borderId="229" xfId="0" applyFont="1" applyFill="1" applyBorder="1" applyProtection="1">
      <alignment vertical="center"/>
      <protection hidden="1"/>
    </xf>
    <xf numFmtId="0" fontId="30" fillId="24" borderId="230" xfId="0" applyFont="1" applyFill="1" applyBorder="1" applyProtection="1">
      <alignment vertical="center"/>
      <protection hidden="1"/>
    </xf>
    <xf numFmtId="0" fontId="30" fillId="6" borderId="22" xfId="0" applyFont="1" applyFill="1" applyBorder="1" applyProtection="1">
      <alignment vertical="center"/>
      <protection hidden="1"/>
    </xf>
    <xf numFmtId="0" fontId="30" fillId="6" borderId="24" xfId="0" applyFont="1" applyFill="1" applyBorder="1" applyProtection="1">
      <alignment vertical="center"/>
      <protection hidden="1"/>
    </xf>
    <xf numFmtId="0" fontId="24" fillId="0" borderId="55" xfId="0" applyFont="1" applyBorder="1" applyAlignment="1" applyProtection="1">
      <alignment horizontal="center" vertical="center"/>
      <protection hidden="1"/>
    </xf>
    <xf numFmtId="41" fontId="76" fillId="24" borderId="34" xfId="1" applyFont="1" applyFill="1" applyBorder="1" applyProtection="1">
      <alignment vertical="center"/>
      <protection locked="0"/>
    </xf>
    <xf numFmtId="41" fontId="0" fillId="23" borderId="32" xfId="1" applyFont="1" applyFill="1" applyBorder="1" applyProtection="1">
      <alignment vertical="center"/>
      <protection locked="0"/>
    </xf>
    <xf numFmtId="41" fontId="76" fillId="6" borderId="34" xfId="1" applyFont="1" applyFill="1" applyBorder="1" applyProtection="1">
      <alignment vertical="center"/>
      <protection locked="0"/>
    </xf>
    <xf numFmtId="181" fontId="8" fillId="6" borderId="237" xfId="1" applyNumberFormat="1" applyFont="1" applyFill="1" applyBorder="1" applyAlignment="1" applyProtection="1">
      <alignment horizontal="center" vertical="center" shrinkToFit="1"/>
      <protection locked="0"/>
    </xf>
    <xf numFmtId="181" fontId="8" fillId="6" borderId="38" xfId="1" applyNumberFormat="1" applyFont="1" applyFill="1" applyBorder="1" applyAlignment="1" applyProtection="1">
      <alignment horizontal="center" vertical="center" shrinkToFit="1"/>
      <protection locked="0"/>
    </xf>
    <xf numFmtId="0" fontId="3" fillId="2" borderId="42" xfId="0" applyFont="1" applyFill="1" applyBorder="1" applyAlignment="1" applyProtection="1">
      <alignment horizontal="left" vertical="center" wrapText="1"/>
      <protection hidden="1"/>
    </xf>
    <xf numFmtId="0" fontId="3" fillId="2" borderId="43" xfId="0" applyFont="1" applyFill="1" applyBorder="1" applyAlignment="1" applyProtection="1">
      <alignment horizontal="center" vertical="center" wrapText="1"/>
      <protection hidden="1"/>
    </xf>
    <xf numFmtId="41" fontId="3" fillId="2" borderId="43" xfId="0" applyNumberFormat="1" applyFont="1" applyFill="1" applyBorder="1" applyAlignment="1" applyProtection="1">
      <alignment horizontal="center" vertical="center" wrapText="1"/>
      <protection hidden="1"/>
    </xf>
    <xf numFmtId="181" fontId="15" fillId="2" borderId="43" xfId="0" applyNumberFormat="1" applyFont="1" applyFill="1" applyBorder="1" applyAlignment="1" applyProtection="1">
      <alignment horizontal="center" vertical="center"/>
      <protection locked="0"/>
    </xf>
    <xf numFmtId="0" fontId="8" fillId="16" borderId="69" xfId="0" applyFont="1" applyFill="1" applyBorder="1" applyAlignment="1" applyProtection="1">
      <alignment horizontal="center" vertical="center" shrinkToFit="1"/>
      <protection hidden="1"/>
    </xf>
    <xf numFmtId="181" fontId="8" fillId="6" borderId="45" xfId="1" applyNumberFormat="1" applyFont="1" applyFill="1" applyBorder="1" applyAlignment="1" applyProtection="1">
      <alignment horizontal="center" vertical="center" shrinkToFit="1"/>
      <protection locked="0"/>
    </xf>
    <xf numFmtId="0" fontId="95" fillId="14" borderId="226" xfId="0" applyFont="1" applyFill="1" applyBorder="1" applyAlignment="1">
      <alignment vertical="top" wrapText="1"/>
    </xf>
    <xf numFmtId="0" fontId="95" fillId="14" borderId="82" xfId="0" applyFont="1" applyFill="1" applyBorder="1" applyAlignment="1">
      <alignment vertical="top" wrapText="1"/>
    </xf>
    <xf numFmtId="0" fontId="95" fillId="14" borderId="88" xfId="0" applyFont="1" applyFill="1" applyBorder="1" applyAlignment="1">
      <alignment vertical="top" wrapText="1"/>
    </xf>
    <xf numFmtId="0" fontId="95" fillId="14" borderId="226" xfId="0" applyFont="1" applyFill="1" applyBorder="1" applyAlignment="1">
      <alignment vertical="center" wrapText="1"/>
    </xf>
    <xf numFmtId="0" fontId="95" fillId="14" borderId="82" xfId="0" applyFont="1" applyFill="1" applyBorder="1" applyAlignment="1">
      <alignment vertical="center" wrapText="1"/>
    </xf>
    <xf numFmtId="0" fontId="95" fillId="14" borderId="88" xfId="0" applyFont="1" applyFill="1" applyBorder="1" applyAlignment="1">
      <alignment vertical="center" wrapText="1"/>
    </xf>
    <xf numFmtId="0" fontId="95" fillId="14" borderId="84" xfId="0" applyFont="1" applyFill="1" applyBorder="1" applyAlignment="1">
      <alignment vertical="top" wrapText="1"/>
    </xf>
    <xf numFmtId="0" fontId="95" fillId="14" borderId="79" xfId="0" applyFont="1" applyFill="1" applyBorder="1" applyAlignment="1">
      <alignment vertical="top" wrapText="1"/>
    </xf>
    <xf numFmtId="41" fontId="0" fillId="23" borderId="43" xfId="1" applyFont="1" applyFill="1" applyBorder="1" applyAlignment="1" applyProtection="1">
      <alignment vertical="center" shrinkToFit="1"/>
      <protection hidden="1"/>
    </xf>
    <xf numFmtId="0" fontId="0" fillId="23" borderId="44" xfId="0" applyFill="1" applyBorder="1" applyAlignment="1" applyProtection="1">
      <alignment horizontal="left" vertical="center" shrinkToFit="1"/>
      <protection hidden="1"/>
    </xf>
    <xf numFmtId="41" fontId="0" fillId="23" borderId="41" xfId="1" applyFont="1" applyFill="1" applyBorder="1" applyProtection="1">
      <alignment vertical="center"/>
      <protection locked="0"/>
    </xf>
    <xf numFmtId="0" fontId="37" fillId="11" borderId="34" xfId="0" applyFont="1" applyFill="1" applyBorder="1" applyProtection="1">
      <alignment vertical="center"/>
      <protection hidden="1"/>
    </xf>
    <xf numFmtId="0" fontId="37" fillId="11" borderId="57" xfId="0" applyFont="1" applyFill="1" applyBorder="1" applyProtection="1">
      <alignment vertical="center"/>
      <protection hidden="1"/>
    </xf>
    <xf numFmtId="0" fontId="24" fillId="11" borderId="36" xfId="0" applyFont="1" applyFill="1" applyBorder="1" applyAlignment="1" applyProtection="1">
      <alignment horizontal="center" vertical="center"/>
      <protection hidden="1"/>
    </xf>
    <xf numFmtId="0" fontId="25" fillId="11" borderId="48" xfId="0" applyFont="1" applyFill="1" applyBorder="1" applyAlignment="1" applyProtection="1">
      <alignment horizontal="center" vertical="center"/>
      <protection hidden="1"/>
    </xf>
    <xf numFmtId="0" fontId="25" fillId="11" borderId="51" xfId="0" applyFont="1" applyFill="1" applyBorder="1" applyAlignment="1" applyProtection="1">
      <alignment horizontal="center" vertical="center"/>
      <protection hidden="1"/>
    </xf>
    <xf numFmtId="0" fontId="25" fillId="0" borderId="51" xfId="0" applyFont="1" applyBorder="1" applyAlignment="1" applyProtection="1">
      <alignment horizontal="center" vertical="center"/>
      <protection hidden="1"/>
    </xf>
    <xf numFmtId="0" fontId="24" fillId="11" borderId="58" xfId="0" applyFont="1" applyFill="1" applyBorder="1" applyAlignment="1" applyProtection="1">
      <alignment horizontal="center" vertical="center"/>
      <protection hidden="1"/>
    </xf>
    <xf numFmtId="0" fontId="24" fillId="6" borderId="36" xfId="0" applyFont="1" applyFill="1" applyBorder="1" applyAlignment="1" applyProtection="1">
      <alignment horizontal="center" vertical="center"/>
      <protection hidden="1"/>
    </xf>
    <xf numFmtId="0" fontId="94" fillId="6" borderId="27" xfId="0" applyFont="1" applyFill="1" applyBorder="1" applyProtection="1">
      <alignment vertical="center"/>
      <protection hidden="1"/>
    </xf>
    <xf numFmtId="0" fontId="37" fillId="6" borderId="34" xfId="0" applyFont="1" applyFill="1" applyBorder="1" applyProtection="1">
      <alignment vertical="center"/>
      <protection hidden="1"/>
    </xf>
    <xf numFmtId="41" fontId="13" fillId="0" borderId="56" xfId="1" applyFont="1" applyFill="1" applyBorder="1" applyAlignment="1" applyProtection="1">
      <alignment horizontal="center" vertical="center"/>
      <protection hidden="1"/>
    </xf>
    <xf numFmtId="0" fontId="8" fillId="23" borderId="48" xfId="0" applyFont="1" applyFill="1" applyBorder="1" applyAlignment="1" applyProtection="1">
      <alignment vertical="center" shrinkToFit="1"/>
      <protection hidden="1"/>
    </xf>
    <xf numFmtId="0" fontId="31" fillId="19" borderId="34" xfId="0" applyFont="1" applyFill="1" applyBorder="1" applyProtection="1">
      <alignment vertical="center"/>
      <protection locked="0"/>
    </xf>
    <xf numFmtId="41" fontId="25" fillId="0" borderId="72" xfId="1" applyFont="1" applyBorder="1" applyProtection="1">
      <alignment vertical="center"/>
      <protection hidden="1"/>
    </xf>
    <xf numFmtId="41" fontId="31" fillId="0" borderId="238" xfId="1" applyFont="1" applyFill="1" applyBorder="1" applyProtection="1">
      <alignment vertical="center"/>
      <protection locked="0"/>
    </xf>
    <xf numFmtId="181" fontId="33" fillId="0" borderId="33" xfId="0" applyNumberFormat="1" applyFont="1" applyBorder="1" applyAlignment="1" applyProtection="1">
      <alignment horizontal="center" vertical="center"/>
      <protection locked="0"/>
    </xf>
    <xf numFmtId="181" fontId="33" fillId="2" borderId="40" xfId="0" applyNumberFormat="1" applyFont="1" applyFill="1" applyBorder="1" applyAlignment="1" applyProtection="1">
      <alignment horizontal="center" vertical="center"/>
      <protection locked="0"/>
    </xf>
    <xf numFmtId="41" fontId="8" fillId="11" borderId="220" xfId="9" applyFont="1" applyFill="1" applyBorder="1" applyAlignment="1" applyProtection="1">
      <alignment horizontal="center" vertical="center"/>
      <protection hidden="1"/>
    </xf>
    <xf numFmtId="41" fontId="8" fillId="11" borderId="217" xfId="9" applyFont="1" applyFill="1" applyBorder="1" applyAlignment="1" applyProtection="1">
      <alignment horizontal="center" vertical="center"/>
      <protection hidden="1"/>
    </xf>
    <xf numFmtId="0" fontId="31" fillId="4" borderId="57" xfId="0" applyFont="1" applyFill="1" applyBorder="1" applyProtection="1">
      <alignment vertical="center"/>
      <protection locked="0"/>
    </xf>
    <xf numFmtId="181" fontId="33" fillId="4" borderId="46" xfId="0" applyNumberFormat="1" applyFont="1" applyFill="1" applyBorder="1" applyAlignment="1" applyProtection="1">
      <alignment horizontal="center" vertical="center"/>
      <protection locked="0"/>
    </xf>
    <xf numFmtId="0" fontId="25" fillId="2" borderId="48" xfId="0" applyFont="1" applyFill="1" applyBorder="1" applyProtection="1">
      <alignment vertical="center"/>
      <protection hidden="1"/>
    </xf>
    <xf numFmtId="0" fontId="15" fillId="0" borderId="17" xfId="3" applyFont="1" applyBorder="1" applyAlignment="1" applyProtection="1">
      <alignment horizontal="left" vertical="center" shrinkToFit="1"/>
      <protection hidden="1"/>
    </xf>
    <xf numFmtId="0" fontId="25" fillId="16" borderId="48" xfId="0" applyFont="1" applyFill="1" applyBorder="1" applyProtection="1">
      <alignment vertical="center"/>
      <protection hidden="1"/>
    </xf>
    <xf numFmtId="41" fontId="25" fillId="16" borderId="74" xfId="1" applyFont="1" applyFill="1" applyBorder="1" applyProtection="1">
      <alignment vertical="center"/>
      <protection hidden="1"/>
    </xf>
    <xf numFmtId="41" fontId="25" fillId="16" borderId="49" xfId="0" applyNumberFormat="1" applyFont="1" applyFill="1" applyBorder="1" applyAlignment="1" applyProtection="1">
      <alignment horizontal="center" vertical="center"/>
      <protection hidden="1"/>
    </xf>
    <xf numFmtId="41" fontId="25" fillId="0" borderId="23" xfId="0" applyNumberFormat="1" applyFont="1" applyBorder="1" applyProtection="1">
      <alignment vertical="center"/>
      <protection hidden="1"/>
    </xf>
    <xf numFmtId="0" fontId="31" fillId="2" borderId="239" xfId="0" applyFont="1" applyFill="1" applyBorder="1" applyAlignment="1" applyProtection="1">
      <alignment horizontal="center" vertical="center"/>
      <protection locked="0"/>
    </xf>
    <xf numFmtId="41" fontId="31" fillId="2" borderId="240" xfId="1" applyFont="1" applyFill="1" applyBorder="1" applyAlignment="1" applyProtection="1">
      <alignment horizontal="center" vertical="center"/>
      <protection locked="0"/>
    </xf>
    <xf numFmtId="184" fontId="44" fillId="6" borderId="32" xfId="0" applyNumberFormat="1" applyFont="1" applyFill="1" applyBorder="1" applyAlignment="1">
      <alignment horizontal="center" vertical="center"/>
    </xf>
    <xf numFmtId="184" fontId="44" fillId="6" borderId="47" xfId="0" applyNumberFormat="1" applyFont="1" applyFill="1" applyBorder="1" applyAlignment="1">
      <alignment horizontal="center" vertical="center"/>
    </xf>
    <xf numFmtId="41" fontId="3" fillId="3" borderId="41" xfId="1" applyFont="1" applyFill="1" applyBorder="1" applyAlignment="1">
      <alignment horizontal="center" vertical="center" wrapText="1"/>
    </xf>
    <xf numFmtId="10" fontId="0" fillId="0" borderId="36" xfId="2" applyNumberFormat="1" applyFont="1" applyBorder="1">
      <alignment vertical="center"/>
    </xf>
    <xf numFmtId="185" fontId="0" fillId="0" borderId="36" xfId="2" applyNumberFormat="1" applyFont="1" applyBorder="1">
      <alignment vertical="center"/>
    </xf>
    <xf numFmtId="0" fontId="0" fillId="0" borderId="34" xfId="0" applyBorder="1">
      <alignment vertical="center"/>
    </xf>
    <xf numFmtId="10" fontId="0" fillId="0" borderId="32" xfId="2" applyNumberFormat="1" applyFont="1" applyBorder="1">
      <alignment vertical="center"/>
    </xf>
    <xf numFmtId="185" fontId="0" fillId="0" borderId="32" xfId="2" applyNumberFormat="1" applyFont="1" applyBorder="1">
      <alignment vertical="center"/>
    </xf>
    <xf numFmtId="0" fontId="0" fillId="0" borderId="57" xfId="0" applyBorder="1">
      <alignment vertical="center"/>
    </xf>
    <xf numFmtId="10" fontId="0" fillId="0" borderId="58" xfId="2" applyNumberFormat="1" applyFont="1" applyBorder="1">
      <alignment vertical="center"/>
    </xf>
    <xf numFmtId="10" fontId="0" fillId="0" borderId="47" xfId="2" applyNumberFormat="1" applyFont="1" applyBorder="1">
      <alignment vertical="center"/>
    </xf>
    <xf numFmtId="0" fontId="0" fillId="0" borderId="27" xfId="0" applyBorder="1">
      <alignment vertical="center"/>
    </xf>
    <xf numFmtId="184" fontId="0" fillId="0" borderId="36" xfId="0" applyNumberFormat="1" applyBorder="1">
      <alignment vertical="center"/>
    </xf>
    <xf numFmtId="0" fontId="0" fillId="0" borderId="32" xfId="0" applyBorder="1">
      <alignment vertical="center"/>
    </xf>
    <xf numFmtId="184" fontId="0" fillId="0" borderId="58" xfId="0" applyNumberFormat="1" applyBorder="1">
      <alignment vertical="center"/>
    </xf>
    <xf numFmtId="0" fontId="0" fillId="0" borderId="47" xfId="0" applyBorder="1">
      <alignment vertical="center"/>
    </xf>
    <xf numFmtId="0" fontId="0" fillId="0" borderId="32" xfId="0" applyBorder="1" applyAlignment="1">
      <alignment horizontal="center" vertical="center"/>
    </xf>
    <xf numFmtId="0" fontId="26" fillId="0" borderId="32" xfId="0" applyFont="1" applyBorder="1" applyAlignment="1">
      <alignment horizontal="center" vertical="center"/>
    </xf>
    <xf numFmtId="10" fontId="24" fillId="6" borderId="56" xfId="2" applyNumberFormat="1" applyFont="1" applyFill="1" applyBorder="1" applyAlignment="1" applyProtection="1">
      <alignment horizontal="center" vertical="center"/>
      <protection locked="0"/>
    </xf>
    <xf numFmtId="10" fontId="24" fillId="6" borderId="58" xfId="2" applyNumberFormat="1" applyFont="1" applyFill="1" applyBorder="1" applyAlignment="1" applyProtection="1">
      <alignment horizontal="center" vertical="center"/>
      <protection locked="0"/>
    </xf>
    <xf numFmtId="184" fontId="27" fillId="6" borderId="21" xfId="0" applyNumberFormat="1" applyFont="1" applyFill="1" applyBorder="1" applyAlignment="1" applyProtection="1">
      <alignment horizontal="center" vertical="center"/>
      <protection locked="0"/>
    </xf>
    <xf numFmtId="182" fontId="95" fillId="14" borderId="45" xfId="0" applyNumberFormat="1" applyFont="1" applyFill="1" applyBorder="1" applyAlignment="1">
      <alignment vertical="top" wrapText="1"/>
    </xf>
    <xf numFmtId="10" fontId="95" fillId="14" borderId="91" xfId="0" applyNumberFormat="1" applyFont="1" applyFill="1" applyBorder="1" applyAlignment="1">
      <alignment vertical="top" wrapText="1"/>
    </xf>
    <xf numFmtId="10" fontId="95" fillId="14" borderId="116" xfId="0" applyNumberFormat="1" applyFont="1" applyFill="1" applyBorder="1" applyAlignment="1">
      <alignment vertical="top" wrapText="1"/>
    </xf>
    <xf numFmtId="10" fontId="95" fillId="14" borderId="26" xfId="0" applyNumberFormat="1" applyFont="1" applyFill="1" applyBorder="1" applyAlignment="1">
      <alignment vertical="top" wrapText="1"/>
    </xf>
    <xf numFmtId="10" fontId="95" fillId="14" borderId="40" xfId="0" applyNumberFormat="1" applyFont="1" applyFill="1" applyBorder="1" applyAlignment="1">
      <alignment vertical="top" wrapText="1"/>
    </xf>
    <xf numFmtId="0" fontId="95" fillId="14" borderId="86" xfId="0" applyFont="1" applyFill="1" applyBorder="1" applyAlignment="1">
      <alignment vertical="top" wrapText="1"/>
    </xf>
    <xf numFmtId="0" fontId="95" fillId="14" borderId="86" xfId="0" applyFont="1" applyFill="1" applyBorder="1" applyAlignment="1">
      <alignment vertical="center" wrapText="1"/>
    </xf>
    <xf numFmtId="10" fontId="95" fillId="14" borderId="19" xfId="0" applyNumberFormat="1" applyFont="1" applyFill="1" applyBorder="1" applyAlignment="1">
      <alignment vertical="top" wrapText="1"/>
    </xf>
    <xf numFmtId="0" fontId="38" fillId="0" borderId="29" xfId="0" applyFont="1" applyBorder="1" applyAlignment="1">
      <alignment horizontal="center" vertical="center"/>
    </xf>
    <xf numFmtId="0" fontId="38" fillId="0" borderId="59" xfId="0" applyFont="1" applyBorder="1" applyAlignment="1">
      <alignment horizontal="center" vertical="center"/>
    </xf>
    <xf numFmtId="0" fontId="0" fillId="0" borderId="47" xfId="0" applyBorder="1" applyAlignment="1">
      <alignment horizontal="center" vertical="center"/>
    </xf>
    <xf numFmtId="0" fontId="96" fillId="0" borderId="34" xfId="0" applyFont="1" applyBorder="1" applyAlignment="1">
      <alignment horizontal="center" vertical="center"/>
    </xf>
    <xf numFmtId="0" fontId="96" fillId="0" borderId="57" xfId="0" applyFont="1" applyBorder="1" applyAlignment="1">
      <alignment horizontal="center" vertical="center"/>
    </xf>
    <xf numFmtId="41" fontId="3" fillId="9" borderId="41" xfId="1" applyFont="1" applyFill="1" applyBorder="1" applyAlignment="1">
      <alignment horizontal="center" vertical="center" wrapText="1"/>
    </xf>
    <xf numFmtId="0" fontId="0" fillId="0" borderId="36" xfId="0" applyBorder="1">
      <alignment vertical="center"/>
    </xf>
    <xf numFmtId="0" fontId="38" fillId="0" borderId="36" xfId="0" applyFont="1" applyBorder="1" applyAlignment="1">
      <alignment horizontal="center" vertical="center"/>
    </xf>
    <xf numFmtId="41" fontId="0" fillId="0" borderId="32" xfId="1" applyFont="1" applyBorder="1">
      <alignment vertical="center"/>
    </xf>
    <xf numFmtId="0" fontId="0" fillId="0" borderId="58" xfId="0" applyBorder="1">
      <alignment vertical="center"/>
    </xf>
    <xf numFmtId="41" fontId="0" fillId="0" borderId="47" xfId="1" applyFont="1" applyBorder="1">
      <alignment vertical="center"/>
    </xf>
    <xf numFmtId="177" fontId="8" fillId="7" borderId="36" xfId="0" applyNumberFormat="1" applyFont="1" applyFill="1" applyBorder="1" applyProtection="1">
      <alignment vertical="center"/>
      <protection locked="0"/>
    </xf>
    <xf numFmtId="0" fontId="28" fillId="2" borderId="74" xfId="0" applyFont="1" applyFill="1" applyBorder="1" applyAlignment="1" applyProtection="1">
      <alignment horizontal="center" vertical="center"/>
      <protection hidden="1"/>
    </xf>
    <xf numFmtId="0" fontId="28" fillId="4" borderId="74" xfId="0" applyFont="1" applyFill="1" applyBorder="1" applyAlignment="1" applyProtection="1">
      <alignment horizontal="center" vertical="center"/>
      <protection hidden="1"/>
    </xf>
    <xf numFmtId="0" fontId="28" fillId="3" borderId="74" xfId="0" applyFont="1" applyFill="1" applyBorder="1" applyAlignment="1" applyProtection="1">
      <alignment horizontal="center" vertical="center"/>
      <protection hidden="1"/>
    </xf>
    <xf numFmtId="0" fontId="26" fillId="2" borderId="32" xfId="0" applyFont="1" applyFill="1" applyBorder="1" applyAlignment="1" applyProtection="1">
      <alignment horizontal="center" vertical="center"/>
      <protection hidden="1"/>
    </xf>
    <xf numFmtId="0" fontId="8" fillId="0" borderId="241" xfId="0" applyFont="1" applyBorder="1" applyAlignment="1" applyProtection="1">
      <alignment vertical="center" shrinkToFit="1"/>
      <protection hidden="1"/>
    </xf>
    <xf numFmtId="0" fontId="26" fillId="3" borderId="242" xfId="0" applyFont="1" applyFill="1" applyBorder="1" applyAlignment="1" applyProtection="1">
      <alignment horizontal="center" vertical="center"/>
      <protection hidden="1"/>
    </xf>
    <xf numFmtId="0" fontId="8" fillId="0" borderId="243" xfId="0" applyFont="1" applyBorder="1" applyAlignment="1" applyProtection="1">
      <alignment vertical="center" shrinkToFit="1"/>
      <protection hidden="1"/>
    </xf>
    <xf numFmtId="0" fontId="26" fillId="2" borderId="244" xfId="0" applyFont="1" applyFill="1" applyBorder="1" applyAlignment="1" applyProtection="1">
      <alignment horizontal="center" vertical="center"/>
      <protection hidden="1"/>
    </xf>
    <xf numFmtId="185" fontId="24" fillId="6" borderId="36" xfId="2" applyNumberFormat="1" applyFont="1" applyFill="1" applyBorder="1" applyAlignment="1" applyProtection="1">
      <alignment horizontal="center" vertical="center"/>
      <protection locked="0"/>
    </xf>
    <xf numFmtId="0" fontId="24" fillId="0" borderId="41" xfId="0" applyFont="1" applyBorder="1" applyAlignment="1" applyProtection="1">
      <alignment horizontal="center" vertical="center"/>
      <protection hidden="1"/>
    </xf>
    <xf numFmtId="0" fontId="43" fillId="0" borderId="2" xfId="0" applyFont="1" applyBorder="1" applyAlignment="1">
      <alignment horizontal="center" vertical="center" wrapText="1"/>
    </xf>
    <xf numFmtId="0" fontId="43" fillId="0" borderId="94" xfId="0" applyFont="1" applyBorder="1" applyAlignment="1">
      <alignment horizontal="center" vertical="center" wrapText="1"/>
    </xf>
    <xf numFmtId="0" fontId="43" fillId="0" borderId="94" xfId="0" applyFont="1" applyBorder="1" applyAlignment="1">
      <alignment vertical="center" wrapText="1"/>
    </xf>
    <xf numFmtId="0" fontId="25" fillId="0" borderId="52" xfId="0" applyFont="1" applyBorder="1" applyAlignment="1" applyProtection="1">
      <alignment horizontal="center" vertical="center"/>
      <protection hidden="1"/>
    </xf>
    <xf numFmtId="0" fontId="43" fillId="0" borderId="246" xfId="0" applyFont="1" applyBorder="1" applyAlignment="1">
      <alignment horizontal="center" vertical="center" wrapText="1"/>
    </xf>
    <xf numFmtId="0" fontId="43" fillId="0" borderId="63" xfId="0" applyFont="1" applyBorder="1" applyAlignment="1">
      <alignment horizontal="center" vertical="center" wrapText="1"/>
    </xf>
    <xf numFmtId="0" fontId="43" fillId="0" borderId="210" xfId="0" applyFont="1" applyBorder="1" applyAlignment="1">
      <alignment horizontal="center" vertical="center" wrapText="1"/>
    </xf>
    <xf numFmtId="0" fontId="43" fillId="0" borderId="211" xfId="0" applyFont="1" applyBorder="1" applyAlignment="1">
      <alignment horizontal="center" vertical="center" wrapText="1"/>
    </xf>
    <xf numFmtId="0" fontId="24" fillId="0" borderId="77" xfId="0" applyFont="1" applyBorder="1" applyAlignment="1" applyProtection="1">
      <alignment horizontal="center" vertical="center"/>
      <protection hidden="1"/>
    </xf>
    <xf numFmtId="0" fontId="43" fillId="0" borderId="254" xfId="0" applyFont="1" applyBorder="1" applyAlignment="1">
      <alignment horizontal="center" vertical="center" wrapText="1"/>
    </xf>
    <xf numFmtId="0" fontId="43" fillId="0" borderId="104" xfId="0" applyFont="1" applyBorder="1" applyAlignment="1">
      <alignment horizontal="center" vertical="center" wrapText="1"/>
    </xf>
    <xf numFmtId="0" fontId="43" fillId="0" borderId="246" xfId="0" applyFont="1" applyBorder="1" applyAlignment="1">
      <alignment vertical="center" wrapText="1"/>
    </xf>
    <xf numFmtId="0" fontId="31" fillId="3" borderId="57" xfId="0" applyFont="1" applyFill="1" applyBorder="1" applyProtection="1">
      <alignment vertical="center"/>
      <protection locked="0"/>
    </xf>
    <xf numFmtId="181" fontId="33" fillId="3" borderId="46" xfId="0" applyNumberFormat="1" applyFont="1" applyFill="1" applyBorder="1" applyAlignment="1" applyProtection="1">
      <alignment horizontal="center" vertical="center"/>
      <protection locked="0"/>
    </xf>
    <xf numFmtId="0" fontId="25" fillId="11" borderId="201" xfId="0" applyFont="1" applyFill="1" applyBorder="1" applyAlignment="1" applyProtection="1">
      <alignment horizontal="left" vertical="center" shrinkToFit="1"/>
      <protection locked="0"/>
    </xf>
    <xf numFmtId="14" fontId="89" fillId="11" borderId="0" xfId="0" applyNumberFormat="1" applyFont="1" applyFill="1" applyAlignment="1" applyProtection="1">
      <alignment horizontal="left" vertical="center" shrinkToFit="1"/>
      <protection locked="0"/>
    </xf>
    <xf numFmtId="0" fontId="26" fillId="11" borderId="0" xfId="0" applyFont="1" applyFill="1" applyAlignment="1" applyProtection="1">
      <alignment horizontal="left" vertical="center" shrinkToFit="1"/>
      <protection hidden="1"/>
    </xf>
    <xf numFmtId="183" fontId="38" fillId="11" borderId="0" xfId="2" applyNumberFormat="1" applyFont="1" applyFill="1" applyBorder="1" applyAlignment="1" applyProtection="1">
      <alignment horizontal="left" vertical="center" shrinkToFit="1"/>
      <protection locked="0"/>
    </xf>
    <xf numFmtId="0" fontId="0" fillId="11" borderId="0" xfId="0" applyFill="1" applyAlignment="1" applyProtection="1">
      <alignment horizontal="left" vertical="center" shrinkToFit="1"/>
      <protection hidden="1"/>
    </xf>
    <xf numFmtId="183" fontId="38" fillId="6" borderId="226" xfId="2" applyNumberFormat="1" applyFont="1" applyFill="1" applyBorder="1" applyAlignment="1" applyProtection="1">
      <alignment horizontal="left" vertical="center"/>
      <protection locked="0"/>
    </xf>
    <xf numFmtId="41" fontId="25" fillId="0" borderId="86" xfId="0" applyNumberFormat="1" applyFont="1" applyBorder="1" applyAlignment="1" applyProtection="1">
      <alignment horizontal="left" vertical="center"/>
      <protection hidden="1"/>
    </xf>
    <xf numFmtId="181" fontId="33" fillId="0" borderId="256" xfId="0" applyNumberFormat="1" applyFont="1" applyBorder="1" applyAlignment="1" applyProtection="1">
      <alignment horizontal="left" vertical="center"/>
      <protection locked="0"/>
    </xf>
    <xf numFmtId="181" fontId="33" fillId="3" borderId="84" xfId="0" applyNumberFormat="1" applyFont="1" applyFill="1" applyBorder="1" applyAlignment="1" applyProtection="1">
      <alignment horizontal="left" vertical="center"/>
      <protection locked="0"/>
    </xf>
    <xf numFmtId="41" fontId="25" fillId="0" borderId="22" xfId="0" applyNumberFormat="1" applyFont="1" applyBorder="1" applyAlignment="1" applyProtection="1">
      <alignment horizontal="center" vertical="center"/>
      <protection hidden="1"/>
    </xf>
    <xf numFmtId="181" fontId="33" fillId="3" borderId="79" xfId="0" applyNumberFormat="1" applyFont="1" applyFill="1" applyBorder="1" applyAlignment="1" applyProtection="1">
      <alignment horizontal="left" vertical="center"/>
      <protection locked="0"/>
    </xf>
    <xf numFmtId="181" fontId="33" fillId="3" borderId="83" xfId="0" applyNumberFormat="1" applyFont="1" applyFill="1" applyBorder="1" applyAlignment="1" applyProtection="1">
      <alignment horizontal="left" vertical="center"/>
      <protection locked="0"/>
    </xf>
    <xf numFmtId="181" fontId="33" fillId="0" borderId="256" xfId="0" applyNumberFormat="1" applyFont="1" applyBorder="1" applyAlignment="1" applyProtection="1">
      <alignment horizontal="left" vertical="center"/>
      <protection hidden="1"/>
    </xf>
    <xf numFmtId="181" fontId="33" fillId="0" borderId="256" xfId="0" applyNumberFormat="1" applyFont="1" applyBorder="1" applyAlignment="1" applyProtection="1">
      <alignment horizontal="center" vertical="center"/>
      <protection hidden="1"/>
    </xf>
    <xf numFmtId="181" fontId="33" fillId="0" borderId="257" xfId="0" applyNumberFormat="1" applyFont="1" applyBorder="1" applyAlignment="1" applyProtection="1">
      <alignment horizontal="center" vertical="center"/>
      <protection locked="0"/>
    </xf>
    <xf numFmtId="181" fontId="33" fillId="2" borderId="84" xfId="0" applyNumberFormat="1" applyFont="1" applyFill="1" applyBorder="1" applyAlignment="1" applyProtection="1">
      <alignment horizontal="center" vertical="center"/>
      <protection locked="0"/>
    </xf>
    <xf numFmtId="183" fontId="38" fillId="7" borderId="45" xfId="2" applyNumberFormat="1" applyFont="1" applyFill="1" applyBorder="1" applyAlignment="1" applyProtection="1">
      <alignment horizontal="left" vertical="center" shrinkToFit="1"/>
      <protection locked="0"/>
    </xf>
    <xf numFmtId="183" fontId="38" fillId="7" borderId="40" xfId="2" applyNumberFormat="1" applyFont="1" applyFill="1" applyBorder="1" applyAlignment="1" applyProtection="1">
      <alignment horizontal="left" vertical="center" shrinkToFit="1"/>
      <protection locked="0"/>
    </xf>
    <xf numFmtId="183" fontId="38" fillId="7" borderId="46" xfId="2" applyNumberFormat="1" applyFont="1" applyFill="1" applyBorder="1" applyAlignment="1" applyProtection="1">
      <alignment horizontal="left" vertical="center" shrinkToFit="1"/>
      <protection locked="0"/>
    </xf>
    <xf numFmtId="41" fontId="25" fillId="8" borderId="71" xfId="0" applyNumberFormat="1" applyFont="1" applyFill="1" applyBorder="1" applyAlignment="1" applyProtection="1">
      <alignment horizontal="left" vertical="center"/>
      <protection locked="0"/>
    </xf>
    <xf numFmtId="41" fontId="31" fillId="2" borderId="41" xfId="1" applyFont="1" applyFill="1" applyBorder="1" applyAlignment="1" applyProtection="1">
      <alignment horizontal="left" vertical="center"/>
      <protection locked="0"/>
    </xf>
    <xf numFmtId="41" fontId="31" fillId="3" borderId="47" xfId="1" applyFont="1" applyFill="1" applyBorder="1" applyAlignment="1" applyProtection="1">
      <alignment horizontal="left" vertical="center"/>
      <protection locked="0"/>
    </xf>
    <xf numFmtId="0" fontId="8" fillId="11" borderId="200" xfId="3" applyFont="1" applyFill="1" applyBorder="1" applyAlignment="1" applyProtection="1">
      <alignment vertical="center" shrinkToFit="1"/>
      <protection hidden="1"/>
    </xf>
    <xf numFmtId="188" fontId="8" fillId="11" borderId="200" xfId="6" applyNumberFormat="1" applyFont="1" applyFill="1" applyBorder="1" applyAlignment="1" applyProtection="1">
      <alignment vertical="center" shrinkToFit="1"/>
      <protection hidden="1"/>
    </xf>
    <xf numFmtId="41" fontId="8" fillId="11" borderId="200" xfId="9" applyFont="1" applyFill="1" applyBorder="1" applyAlignment="1" applyProtection="1">
      <alignment horizontal="center" vertical="center"/>
      <protection hidden="1"/>
    </xf>
    <xf numFmtId="186" fontId="8" fillId="11" borderId="200" xfId="9" applyNumberFormat="1" applyFont="1" applyFill="1" applyBorder="1" applyAlignment="1" applyProtection="1">
      <alignment vertical="center" shrinkToFit="1"/>
      <protection hidden="1"/>
    </xf>
    <xf numFmtId="41" fontId="8" fillId="11" borderId="200" xfId="9" applyFont="1" applyFill="1" applyBorder="1" applyAlignment="1" applyProtection="1">
      <alignment horizontal="center" vertical="center" shrinkToFit="1"/>
      <protection hidden="1"/>
    </xf>
    <xf numFmtId="189" fontId="8" fillId="11" borderId="200" xfId="9" applyNumberFormat="1" applyFont="1" applyFill="1" applyBorder="1" applyAlignment="1" applyProtection="1">
      <alignment vertical="center" shrinkToFit="1"/>
      <protection hidden="1"/>
    </xf>
    <xf numFmtId="0" fontId="39" fillId="11" borderId="0" xfId="0" applyFont="1" applyFill="1" applyAlignment="1">
      <alignment horizontal="left" vertical="center" wrapText="1"/>
    </xf>
    <xf numFmtId="0" fontId="0" fillId="11" borderId="0" xfId="0" applyFill="1" applyAlignment="1">
      <alignment horizontal="left" vertical="center"/>
    </xf>
    <xf numFmtId="0" fontId="39" fillId="11" borderId="87" xfId="0" applyFont="1" applyFill="1" applyBorder="1" applyAlignment="1">
      <alignment horizontal="left" vertical="center" wrapText="1"/>
    </xf>
    <xf numFmtId="0" fontId="26" fillId="26" borderId="22" xfId="0" applyFont="1" applyFill="1" applyBorder="1" applyProtection="1">
      <alignment vertical="center"/>
      <protection hidden="1"/>
    </xf>
    <xf numFmtId="0" fontId="26" fillId="26" borderId="23" xfId="0" applyFont="1" applyFill="1" applyBorder="1" applyProtection="1">
      <alignment vertical="center"/>
      <protection hidden="1"/>
    </xf>
    <xf numFmtId="0" fontId="26" fillId="26" borderId="24" xfId="0" applyFont="1" applyFill="1" applyBorder="1" applyProtection="1">
      <alignment vertical="center"/>
      <protection hidden="1"/>
    </xf>
    <xf numFmtId="41" fontId="13" fillId="11" borderId="43" xfId="0" applyNumberFormat="1" applyFont="1" applyFill="1" applyBorder="1" applyAlignment="1" applyProtection="1">
      <alignment vertical="center" shrinkToFit="1"/>
      <protection hidden="1"/>
    </xf>
    <xf numFmtId="0" fontId="8" fillId="11" borderId="197" xfId="3" applyFont="1" applyFill="1" applyBorder="1" applyAlignment="1" applyProtection="1">
      <alignment vertical="center" shrinkToFit="1"/>
      <protection hidden="1"/>
    </xf>
    <xf numFmtId="0" fontId="91" fillId="19" borderId="67" xfId="0" applyFont="1" applyFill="1" applyBorder="1" applyAlignment="1">
      <alignment vertical="center" wrapText="1"/>
    </xf>
    <xf numFmtId="0" fontId="91" fillId="19" borderId="68" xfId="0" applyFont="1" applyFill="1" applyBorder="1" applyAlignment="1">
      <alignment vertical="center" wrapText="1"/>
    </xf>
    <xf numFmtId="0" fontId="91" fillId="19" borderId="62" xfId="0" applyFont="1" applyFill="1" applyBorder="1" applyAlignment="1">
      <alignment vertical="center" wrapText="1"/>
    </xf>
    <xf numFmtId="0" fontId="91" fillId="19" borderId="82" xfId="0" applyFont="1" applyFill="1" applyBorder="1" applyAlignment="1">
      <alignment vertical="center" wrapText="1"/>
    </xf>
    <xf numFmtId="0" fontId="91" fillId="19" borderId="0" xfId="0" applyFont="1" applyFill="1" applyAlignment="1">
      <alignment vertical="center" wrapText="1"/>
    </xf>
    <xf numFmtId="0" fontId="91" fillId="19" borderId="89" xfId="0" applyFont="1" applyFill="1" applyBorder="1" applyAlignment="1">
      <alignment vertical="center" wrapText="1"/>
    </xf>
    <xf numFmtId="0" fontId="91" fillId="19" borderId="86" xfId="0" applyFont="1" applyFill="1" applyBorder="1" applyAlignment="1">
      <alignment vertical="center" wrapText="1"/>
    </xf>
    <xf numFmtId="0" fontId="91" fillId="19" borderId="87" xfId="0" applyFont="1" applyFill="1" applyBorder="1" applyAlignment="1">
      <alignment vertical="center" wrapText="1"/>
    </xf>
    <xf numFmtId="0" fontId="91" fillId="19" borderId="64" xfId="0" applyFont="1" applyFill="1" applyBorder="1" applyAlignment="1">
      <alignment vertical="center" wrapText="1"/>
    </xf>
    <xf numFmtId="0" fontId="91" fillId="19" borderId="89" xfId="0" applyFont="1" applyFill="1" applyBorder="1">
      <alignment vertical="center"/>
    </xf>
    <xf numFmtId="0" fontId="91" fillId="19" borderId="82" xfId="0" applyFont="1" applyFill="1" applyBorder="1">
      <alignment vertical="center"/>
    </xf>
    <xf numFmtId="195" fontId="33" fillId="2" borderId="40" xfId="0" applyNumberFormat="1" applyFont="1" applyFill="1" applyBorder="1" applyAlignment="1" applyProtection="1">
      <alignment horizontal="left" vertical="center"/>
      <protection locked="0"/>
    </xf>
    <xf numFmtId="0" fontId="26" fillId="13" borderId="54" xfId="0" applyFont="1" applyFill="1" applyBorder="1" applyAlignment="1" applyProtection="1">
      <alignment horizontal="center" vertical="center"/>
      <protection hidden="1"/>
    </xf>
    <xf numFmtId="0" fontId="26" fillId="13" borderId="56" xfId="0" applyFont="1" applyFill="1" applyBorder="1" applyAlignment="1" applyProtection="1">
      <alignment horizontal="center" vertical="center"/>
      <protection hidden="1"/>
    </xf>
    <xf numFmtId="0" fontId="26" fillId="13" borderId="25" xfId="0" applyFont="1" applyFill="1" applyBorder="1" applyAlignment="1" applyProtection="1">
      <alignment horizontal="center" vertical="center"/>
      <protection hidden="1"/>
    </xf>
    <xf numFmtId="0" fontId="26" fillId="13" borderId="34" xfId="0" applyFont="1" applyFill="1" applyBorder="1" applyAlignment="1" applyProtection="1">
      <alignment horizontal="center" vertical="center"/>
      <protection hidden="1"/>
    </xf>
    <xf numFmtId="0" fontId="26" fillId="13" borderId="36" xfId="0" applyFont="1" applyFill="1" applyBorder="1" applyAlignment="1" applyProtection="1">
      <alignment horizontal="center" vertical="center"/>
      <protection hidden="1"/>
    </xf>
    <xf numFmtId="0" fontId="26" fillId="13" borderId="32" xfId="0" applyFont="1" applyFill="1" applyBorder="1" applyAlignment="1" applyProtection="1">
      <alignment horizontal="center" vertical="center"/>
      <protection hidden="1"/>
    </xf>
    <xf numFmtId="0" fontId="26" fillId="13" borderId="57" xfId="0" applyFont="1" applyFill="1" applyBorder="1" applyAlignment="1" applyProtection="1">
      <alignment horizontal="center" vertical="center"/>
      <protection hidden="1"/>
    </xf>
    <xf numFmtId="0" fontId="26" fillId="13" borderId="58" xfId="0" applyFont="1" applyFill="1" applyBorder="1" applyAlignment="1" applyProtection="1">
      <alignment horizontal="center" vertical="center"/>
      <protection hidden="1"/>
    </xf>
    <xf numFmtId="183" fontId="38" fillId="6" borderId="225" xfId="2" applyNumberFormat="1" applyFont="1" applyFill="1" applyBorder="1" applyAlignment="1" applyProtection="1">
      <alignment horizontal="center" vertical="center"/>
      <protection locked="0"/>
    </xf>
    <xf numFmtId="0" fontId="26" fillId="13" borderId="116" xfId="0" applyFont="1" applyFill="1" applyBorder="1" applyAlignment="1" applyProtection="1">
      <alignment horizontal="center" vertical="center"/>
      <protection hidden="1"/>
    </xf>
    <xf numFmtId="0" fontId="26" fillId="13" borderId="19" xfId="0" applyFont="1" applyFill="1" applyBorder="1" applyAlignment="1" applyProtection="1">
      <alignment horizontal="center" vertical="center"/>
      <protection hidden="1"/>
    </xf>
    <xf numFmtId="186" fontId="27" fillId="6" borderId="41" xfId="0" applyNumberFormat="1" applyFont="1" applyFill="1" applyBorder="1" applyAlignment="1" applyProtection="1">
      <alignment horizontal="left" vertical="center"/>
      <protection locked="0"/>
    </xf>
    <xf numFmtId="0" fontId="30" fillId="9" borderId="87" xfId="0" applyFont="1" applyFill="1" applyBorder="1" applyAlignment="1" applyProtection="1">
      <alignment horizontal="left" vertical="center" shrinkToFit="1"/>
      <protection hidden="1"/>
    </xf>
    <xf numFmtId="0" fontId="0" fillId="0" borderId="67" xfId="0" applyBorder="1" applyAlignment="1" applyProtection="1">
      <alignment horizontal="left" vertical="center"/>
      <protection hidden="1"/>
    </xf>
    <xf numFmtId="0" fontId="0" fillId="0" borderId="15" xfId="0" applyBorder="1" applyAlignment="1" applyProtection="1">
      <alignment horizontal="left" vertical="center"/>
      <protection hidden="1"/>
    </xf>
    <xf numFmtId="0" fontId="28" fillId="6" borderId="258" xfId="0" applyFont="1" applyFill="1" applyBorder="1" applyAlignment="1" applyProtection="1">
      <alignment horizontal="left" vertical="center"/>
      <protection hidden="1"/>
    </xf>
    <xf numFmtId="0" fontId="28" fillId="6" borderId="68" xfId="0" applyFont="1" applyFill="1" applyBorder="1" applyAlignment="1" applyProtection="1">
      <alignment horizontal="left" vertical="center"/>
      <protection hidden="1"/>
    </xf>
    <xf numFmtId="0" fontId="28" fillId="6" borderId="62" xfId="0" applyFont="1" applyFill="1" applyBorder="1" applyAlignment="1" applyProtection="1">
      <alignment horizontal="left" vertical="center"/>
      <protection hidden="1"/>
    </xf>
    <xf numFmtId="0" fontId="97" fillId="20" borderId="14" xfId="0" applyFont="1" applyFill="1" applyBorder="1" applyAlignment="1" applyProtection="1">
      <alignment vertical="center" wrapText="1" shrinkToFit="1"/>
      <protection hidden="1"/>
    </xf>
    <xf numFmtId="0" fontId="97" fillId="20" borderId="19" xfId="0" applyFont="1" applyFill="1" applyBorder="1" applyAlignment="1" applyProtection="1">
      <alignment vertical="center" wrapText="1" shrinkToFit="1"/>
      <protection hidden="1"/>
    </xf>
    <xf numFmtId="0" fontId="98" fillId="20" borderId="116" xfId="0" applyFont="1" applyFill="1" applyBorder="1" applyAlignment="1" applyProtection="1">
      <alignment vertical="center" wrapText="1" shrinkToFit="1"/>
      <protection hidden="1"/>
    </xf>
    <xf numFmtId="0" fontId="99" fillId="13" borderId="34" xfId="0" applyFont="1" applyFill="1" applyBorder="1" applyAlignment="1" applyProtection="1">
      <alignment horizontal="center" vertical="center"/>
      <protection hidden="1"/>
    </xf>
    <xf numFmtId="0" fontId="99" fillId="13" borderId="56" xfId="0" applyFont="1" applyFill="1" applyBorder="1" applyAlignment="1" applyProtection="1">
      <alignment horizontal="center" vertical="center"/>
      <protection hidden="1"/>
    </xf>
    <xf numFmtId="0" fontId="99" fillId="13" borderId="36" xfId="0" applyFont="1" applyFill="1" applyBorder="1" applyAlignment="1" applyProtection="1">
      <alignment horizontal="center" vertical="center"/>
      <protection hidden="1"/>
    </xf>
    <xf numFmtId="0" fontId="99" fillId="13" borderId="58" xfId="0" applyFont="1" applyFill="1" applyBorder="1" applyAlignment="1" applyProtection="1">
      <alignment horizontal="center" vertical="center"/>
      <protection hidden="1"/>
    </xf>
    <xf numFmtId="0" fontId="14" fillId="10" borderId="32" xfId="0" applyFont="1" applyFill="1" applyBorder="1" applyAlignment="1" applyProtection="1">
      <alignment horizontal="center" vertical="center" shrinkToFit="1"/>
      <protection locked="0"/>
    </xf>
    <xf numFmtId="0" fontId="99" fillId="13" borderId="47" xfId="0" applyFont="1" applyFill="1" applyBorder="1" applyAlignment="1" applyProtection="1">
      <alignment horizontal="center" vertical="center"/>
      <protection hidden="1"/>
    </xf>
    <xf numFmtId="49" fontId="69" fillId="11" borderId="259" xfId="0" applyNumberFormat="1" applyFont="1" applyFill="1" applyBorder="1" applyAlignment="1" applyProtection="1">
      <alignment horizontal="center" vertical="center" shrinkToFit="1"/>
      <protection hidden="1"/>
    </xf>
    <xf numFmtId="0" fontId="69" fillId="11" borderId="259" xfId="0" applyFont="1" applyFill="1" applyBorder="1" applyAlignment="1" applyProtection="1">
      <alignment horizontal="center" vertical="center" shrinkToFit="1"/>
      <protection hidden="1"/>
    </xf>
    <xf numFmtId="41" fontId="70" fillId="11" borderId="259" xfId="3" applyNumberFormat="1" applyFont="1" applyFill="1" applyBorder="1" applyAlignment="1" applyProtection="1">
      <alignment horizontal="center" vertical="center" shrinkToFit="1"/>
      <protection hidden="1"/>
    </xf>
    <xf numFmtId="41" fontId="13" fillId="11" borderId="259" xfId="0" applyNumberFormat="1" applyFont="1" applyFill="1" applyBorder="1" applyAlignment="1" applyProtection="1">
      <alignment vertical="center" shrinkToFit="1"/>
      <protection hidden="1"/>
    </xf>
    <xf numFmtId="0" fontId="8" fillId="11" borderId="260" xfId="3" applyFont="1" applyFill="1" applyBorder="1" applyAlignment="1" applyProtection="1">
      <alignment horizontal="center" vertical="center" shrinkToFit="1"/>
      <protection hidden="1"/>
    </xf>
    <xf numFmtId="0" fontId="8" fillId="11" borderId="260" xfId="3" applyFont="1" applyFill="1" applyBorder="1" applyAlignment="1" applyProtection="1">
      <alignment horizontal="left" vertical="center" shrinkToFit="1"/>
      <protection hidden="1"/>
    </xf>
    <xf numFmtId="0" fontId="8" fillId="11" borderId="261" xfId="3" applyFont="1" applyFill="1" applyBorder="1" applyAlignment="1" applyProtection="1">
      <alignment horizontal="left" vertical="center" shrinkToFit="1"/>
      <protection hidden="1"/>
    </xf>
    <xf numFmtId="188" fontId="8" fillId="11" borderId="261" xfId="6" applyNumberFormat="1" applyFont="1" applyFill="1" applyBorder="1" applyAlignment="1" applyProtection="1">
      <alignment vertical="center" shrinkToFit="1"/>
      <protection hidden="1"/>
    </xf>
    <xf numFmtId="41" fontId="8" fillId="11" borderId="261" xfId="9" applyFont="1" applyFill="1" applyBorder="1" applyAlignment="1" applyProtection="1">
      <alignment horizontal="center" vertical="center"/>
      <protection hidden="1"/>
    </xf>
    <xf numFmtId="186" fontId="8" fillId="11" borderId="261" xfId="9" applyNumberFormat="1" applyFont="1" applyFill="1" applyBorder="1" applyAlignment="1" applyProtection="1">
      <alignment vertical="center" shrinkToFit="1"/>
      <protection hidden="1"/>
    </xf>
    <xf numFmtId="41" fontId="8" fillId="11" borderId="261" xfId="9" applyFont="1" applyFill="1" applyBorder="1" applyAlignment="1" applyProtection="1">
      <alignment horizontal="center" vertical="center" shrinkToFit="1"/>
      <protection hidden="1"/>
    </xf>
    <xf numFmtId="189" fontId="8" fillId="11" borderId="261" xfId="9" applyNumberFormat="1" applyFont="1" applyFill="1" applyBorder="1" applyAlignment="1" applyProtection="1">
      <alignment vertical="center" shrinkToFit="1"/>
      <protection hidden="1"/>
    </xf>
    <xf numFmtId="41" fontId="8" fillId="11" borderId="262" xfId="9" applyFont="1" applyFill="1" applyBorder="1" applyAlignment="1" applyProtection="1">
      <alignment horizontal="center" vertical="center" shrinkToFit="1"/>
      <protection hidden="1"/>
    </xf>
    <xf numFmtId="0" fontId="11" fillId="11" borderId="259" xfId="0" applyFont="1" applyFill="1" applyBorder="1" applyAlignment="1" applyProtection="1">
      <alignment vertical="center" shrinkToFit="1"/>
      <protection hidden="1"/>
    </xf>
    <xf numFmtId="188" fontId="8" fillId="11" borderId="259" xfId="9" applyNumberFormat="1" applyFont="1" applyFill="1" applyBorder="1" applyAlignment="1" applyProtection="1">
      <alignment vertical="center" shrinkToFit="1"/>
      <protection hidden="1"/>
    </xf>
    <xf numFmtId="49" fontId="69" fillId="11" borderId="263" xfId="0" applyNumberFormat="1" applyFont="1" applyFill="1" applyBorder="1" applyAlignment="1" applyProtection="1">
      <alignment horizontal="center" vertical="center" shrinkToFit="1"/>
      <protection hidden="1"/>
    </xf>
    <xf numFmtId="0" fontId="69" fillId="11" borderId="263" xfId="0" applyFont="1" applyFill="1" applyBorder="1" applyAlignment="1" applyProtection="1">
      <alignment horizontal="center" vertical="center" shrinkToFit="1"/>
      <protection hidden="1"/>
    </xf>
    <xf numFmtId="41" fontId="11" fillId="11" borderId="263" xfId="0" applyNumberFormat="1" applyFont="1" applyFill="1" applyBorder="1" applyAlignment="1" applyProtection="1">
      <alignment vertical="center" shrinkToFit="1"/>
      <protection hidden="1"/>
    </xf>
    <xf numFmtId="41" fontId="11" fillId="11" borderId="264" xfId="0" applyNumberFormat="1" applyFont="1" applyFill="1" applyBorder="1" applyAlignment="1" applyProtection="1">
      <alignment vertical="center" shrinkToFit="1"/>
      <protection hidden="1"/>
    </xf>
    <xf numFmtId="0" fontId="8" fillId="11" borderId="264" xfId="3" applyFont="1" applyFill="1" applyBorder="1" applyAlignment="1" applyProtection="1">
      <alignment horizontal="left" vertical="center" shrinkToFit="1"/>
      <protection hidden="1"/>
    </xf>
    <xf numFmtId="0" fontId="8" fillId="11" borderId="265" xfId="3" applyFont="1" applyFill="1" applyBorder="1" applyAlignment="1" applyProtection="1">
      <alignment horizontal="left" vertical="center" shrinkToFit="1"/>
      <protection hidden="1"/>
    </xf>
    <xf numFmtId="188" fontId="8" fillId="11" borderId="265" xfId="6" applyNumberFormat="1" applyFont="1" applyFill="1" applyBorder="1" applyAlignment="1" applyProtection="1">
      <alignment vertical="center" shrinkToFit="1"/>
      <protection hidden="1"/>
    </xf>
    <xf numFmtId="41" fontId="8" fillId="11" borderId="265" xfId="9" applyFont="1" applyFill="1" applyBorder="1" applyAlignment="1" applyProtection="1">
      <alignment horizontal="center" vertical="center" shrinkToFit="1"/>
      <protection hidden="1"/>
    </xf>
    <xf numFmtId="186" fontId="8" fillId="11" borderId="265" xfId="9" applyNumberFormat="1" applyFont="1" applyFill="1" applyBorder="1" applyAlignment="1" applyProtection="1">
      <alignment vertical="center" shrinkToFit="1"/>
      <protection hidden="1"/>
    </xf>
    <xf numFmtId="189" fontId="8" fillId="11" borderId="265" xfId="9" applyNumberFormat="1" applyFont="1" applyFill="1" applyBorder="1" applyAlignment="1" applyProtection="1">
      <alignment vertical="center" shrinkToFit="1"/>
      <protection hidden="1"/>
    </xf>
    <xf numFmtId="188" fontId="8" fillId="11" borderId="263" xfId="9" applyNumberFormat="1" applyFont="1" applyFill="1" applyBorder="1" applyAlignment="1" applyProtection="1">
      <alignment vertical="center" shrinkToFit="1"/>
      <protection hidden="1"/>
    </xf>
    <xf numFmtId="0" fontId="11" fillId="11" borderId="263" xfId="0" applyFont="1" applyFill="1" applyBorder="1" applyAlignment="1" applyProtection="1">
      <alignment vertical="center" shrinkToFit="1"/>
      <protection hidden="1"/>
    </xf>
    <xf numFmtId="0" fontId="0" fillId="0" borderId="49" xfId="0" applyBorder="1" applyProtection="1">
      <alignment vertical="center"/>
      <protection hidden="1"/>
    </xf>
    <xf numFmtId="0" fontId="86" fillId="6" borderId="46" xfId="0" applyFont="1" applyFill="1" applyBorder="1" applyProtection="1">
      <alignment vertical="center"/>
      <protection locked="0"/>
    </xf>
    <xf numFmtId="0" fontId="0" fillId="9" borderId="45" xfId="0" applyFill="1" applyBorder="1" applyAlignment="1" applyProtection="1">
      <alignment horizontal="center" vertical="center"/>
      <protection hidden="1"/>
    </xf>
    <xf numFmtId="0" fontId="27" fillId="9" borderId="64" xfId="0" applyFont="1" applyFill="1" applyBorder="1" applyAlignment="1" applyProtection="1">
      <alignment horizontal="center" vertical="center"/>
      <protection hidden="1"/>
    </xf>
    <xf numFmtId="0" fontId="0" fillId="0" borderId="115" xfId="0" applyBorder="1">
      <alignment vertical="center"/>
    </xf>
    <xf numFmtId="41" fontId="0" fillId="0" borderId="266" xfId="1" applyFont="1" applyFill="1" applyBorder="1">
      <alignment vertical="center"/>
    </xf>
    <xf numFmtId="41" fontId="0" fillId="0" borderId="41" xfId="1" applyFont="1" applyBorder="1">
      <alignment vertical="center"/>
    </xf>
    <xf numFmtId="41" fontId="0" fillId="0" borderId="77" xfId="1" applyFont="1" applyBorder="1">
      <alignment vertical="center"/>
    </xf>
    <xf numFmtId="0" fontId="38" fillId="0" borderId="90" xfId="0" applyFont="1" applyBorder="1" applyAlignment="1">
      <alignment horizontal="center" vertical="center"/>
    </xf>
    <xf numFmtId="0" fontId="38" fillId="0" borderId="266" xfId="0" applyFont="1" applyBorder="1" applyAlignment="1">
      <alignment horizontal="center" vertical="center"/>
    </xf>
    <xf numFmtId="0" fontId="0" fillId="0" borderId="54" xfId="0" applyBorder="1">
      <alignment vertical="center"/>
    </xf>
    <xf numFmtId="0" fontId="0" fillId="0" borderId="25" xfId="0" applyBorder="1">
      <alignment vertical="center"/>
    </xf>
    <xf numFmtId="184" fontId="44" fillId="6" borderId="25" xfId="0" applyNumberFormat="1" applyFont="1" applyFill="1" applyBorder="1" applyAlignment="1">
      <alignment horizontal="center" vertical="center"/>
    </xf>
    <xf numFmtId="9" fontId="26" fillId="13" borderId="49" xfId="0" applyNumberFormat="1" applyFont="1" applyFill="1" applyBorder="1" applyAlignment="1" applyProtection="1">
      <alignment horizontal="center" vertical="center"/>
      <protection hidden="1"/>
    </xf>
    <xf numFmtId="41" fontId="8" fillId="6" borderId="17" xfId="1" applyFont="1" applyFill="1" applyBorder="1" applyProtection="1">
      <alignment vertical="center"/>
      <protection locked="0"/>
    </xf>
    <xf numFmtId="41" fontId="13" fillId="0" borderId="266" xfId="1" applyFont="1" applyFill="1" applyBorder="1" applyAlignment="1" applyProtection="1">
      <alignment horizontal="center" vertical="center"/>
      <protection hidden="1"/>
    </xf>
    <xf numFmtId="180" fontId="8" fillId="6" borderId="19" xfId="1" applyNumberFormat="1" applyFont="1" applyFill="1" applyBorder="1" applyAlignment="1" applyProtection="1">
      <alignment horizontal="center" vertical="center" shrinkToFit="1"/>
      <protection locked="0"/>
    </xf>
    <xf numFmtId="0" fontId="8" fillId="0" borderId="17" xfId="0" applyFont="1" applyBorder="1" applyProtection="1">
      <alignment vertical="center"/>
      <protection hidden="1"/>
    </xf>
    <xf numFmtId="0" fontId="8" fillId="0" borderId="20" xfId="0" applyFont="1" applyBorder="1" applyAlignment="1" applyProtection="1">
      <alignment horizontal="center" vertical="center"/>
      <protection hidden="1"/>
    </xf>
    <xf numFmtId="177" fontId="8" fillId="6" borderId="21" xfId="0" applyNumberFormat="1" applyFont="1" applyFill="1" applyBorder="1" applyProtection="1">
      <alignment vertical="center"/>
      <protection hidden="1"/>
    </xf>
    <xf numFmtId="180" fontId="8" fillId="0" borderId="75" xfId="0" applyNumberFormat="1" applyFont="1" applyBorder="1" applyAlignment="1" applyProtection="1">
      <alignment horizontal="center" vertical="center"/>
      <protection hidden="1"/>
    </xf>
    <xf numFmtId="0" fontId="14" fillId="6" borderId="18" xfId="0" applyFont="1" applyFill="1" applyBorder="1" applyAlignment="1" applyProtection="1">
      <alignment horizontal="center" vertical="center" shrinkToFit="1"/>
      <protection hidden="1"/>
    </xf>
    <xf numFmtId="41" fontId="11" fillId="0" borderId="32" xfId="1" applyFont="1" applyBorder="1" applyProtection="1">
      <alignment vertical="center"/>
      <protection hidden="1"/>
    </xf>
    <xf numFmtId="177" fontId="8" fillId="6" borderId="36" xfId="0" applyNumberFormat="1" applyFont="1" applyFill="1" applyBorder="1" applyProtection="1">
      <alignment vertical="center"/>
      <protection locked="0"/>
    </xf>
    <xf numFmtId="0" fontId="8" fillId="0" borderId="238" xfId="0" applyFont="1" applyBorder="1" applyAlignment="1" applyProtection="1">
      <alignment horizontal="center" vertical="center" shrinkToFit="1"/>
      <protection locked="0"/>
    </xf>
    <xf numFmtId="0" fontId="35" fillId="13" borderId="54" xfId="0" applyFont="1" applyFill="1" applyBorder="1" applyAlignment="1" applyProtection="1">
      <alignment horizontal="left" vertical="center"/>
      <protection hidden="1"/>
    </xf>
    <xf numFmtId="0" fontId="35" fillId="13" borderId="34" xfId="0" applyFont="1" applyFill="1" applyBorder="1" applyAlignment="1" applyProtection="1">
      <alignment horizontal="left" vertical="center"/>
      <protection hidden="1"/>
    </xf>
    <xf numFmtId="0" fontId="35" fillId="13" borderId="57" xfId="0" applyFont="1" applyFill="1" applyBorder="1" applyAlignment="1" applyProtection="1">
      <alignment horizontal="left" vertical="center"/>
      <protection hidden="1"/>
    </xf>
    <xf numFmtId="0" fontId="26" fillId="13" borderId="47" xfId="0" applyFont="1" applyFill="1" applyBorder="1" applyAlignment="1" applyProtection="1">
      <alignment horizontal="center" vertical="center"/>
      <protection hidden="1"/>
    </xf>
    <xf numFmtId="41" fontId="25" fillId="9" borderId="52" xfId="0" applyNumberFormat="1" applyFont="1" applyFill="1" applyBorder="1" applyAlignment="1" applyProtection="1">
      <alignment horizontal="center" vertical="center"/>
      <protection hidden="1"/>
    </xf>
    <xf numFmtId="41" fontId="25" fillId="9" borderId="24" xfId="0" applyNumberFormat="1" applyFont="1" applyFill="1" applyBorder="1" applyAlignment="1" applyProtection="1">
      <alignment horizontal="center" vertical="center"/>
      <protection hidden="1"/>
    </xf>
    <xf numFmtId="41" fontId="24" fillId="0" borderId="71" xfId="0" applyNumberFormat="1" applyFont="1" applyBorder="1" applyAlignment="1" applyProtection="1">
      <alignment horizontal="center" vertical="center"/>
      <protection hidden="1"/>
    </xf>
    <xf numFmtId="41" fontId="24" fillId="0" borderId="76" xfId="0" applyNumberFormat="1" applyFont="1" applyBorder="1" applyAlignment="1" applyProtection="1">
      <alignment horizontal="center" vertical="center"/>
      <protection hidden="1"/>
    </xf>
    <xf numFmtId="41" fontId="24" fillId="0" borderId="41" xfId="0" applyNumberFormat="1" applyFont="1" applyBorder="1" applyAlignment="1" applyProtection="1">
      <alignment horizontal="center" vertical="center"/>
      <protection hidden="1"/>
    </xf>
    <xf numFmtId="41" fontId="24" fillId="0" borderId="81" xfId="0" applyNumberFormat="1" applyFont="1" applyBorder="1" applyAlignment="1" applyProtection="1">
      <alignment horizontal="center" vertical="center"/>
      <protection hidden="1"/>
    </xf>
    <xf numFmtId="0" fontId="26" fillId="0" borderId="22" xfId="0" applyFont="1" applyBorder="1" applyAlignment="1" applyProtection="1">
      <alignment horizontal="center" vertical="center"/>
      <protection hidden="1"/>
    </xf>
    <xf numFmtId="0" fontId="26" fillId="0" borderId="23" xfId="0" applyFont="1" applyBorder="1" applyAlignment="1" applyProtection="1">
      <alignment horizontal="center" vertical="center"/>
      <protection hidden="1"/>
    </xf>
    <xf numFmtId="41" fontId="24" fillId="0" borderId="79" xfId="0" applyNumberFormat="1" applyFont="1" applyBorder="1" applyAlignment="1" applyProtection="1">
      <alignment horizontal="center" vertical="center"/>
      <protection locked="0"/>
    </xf>
    <xf numFmtId="41" fontId="24" fillId="0" borderId="80" xfId="0" applyNumberFormat="1" applyFont="1" applyBorder="1" applyAlignment="1" applyProtection="1">
      <alignment horizontal="center" vertical="center"/>
      <protection locked="0"/>
    </xf>
    <xf numFmtId="41" fontId="24" fillId="3" borderId="83" xfId="0" applyNumberFormat="1" applyFont="1" applyFill="1" applyBorder="1" applyAlignment="1" applyProtection="1">
      <alignment horizontal="center" vertical="center"/>
      <protection locked="0"/>
    </xf>
    <xf numFmtId="41" fontId="24" fillId="3" borderId="202" xfId="0" applyNumberFormat="1" applyFont="1" applyFill="1" applyBorder="1" applyAlignment="1" applyProtection="1">
      <alignment horizontal="center" vertical="center"/>
      <protection locked="0"/>
    </xf>
    <xf numFmtId="41" fontId="15" fillId="0" borderId="41" xfId="1" applyFont="1" applyFill="1" applyBorder="1" applyAlignment="1" applyProtection="1">
      <alignment horizontal="center" vertical="center"/>
      <protection hidden="1"/>
    </xf>
    <xf numFmtId="41" fontId="15" fillId="0" borderId="35" xfId="1" applyFont="1" applyFill="1" applyBorder="1" applyAlignment="1" applyProtection="1">
      <alignment horizontal="center" vertical="center"/>
      <protection hidden="1"/>
    </xf>
    <xf numFmtId="41" fontId="15" fillId="0" borderId="81" xfId="1" applyFont="1" applyFill="1" applyBorder="1" applyAlignment="1" applyProtection="1">
      <alignment horizontal="center" vertical="center"/>
      <protection hidden="1"/>
    </xf>
    <xf numFmtId="41" fontId="25" fillId="4" borderId="52" xfId="0" applyNumberFormat="1" applyFont="1" applyFill="1" applyBorder="1" applyAlignment="1" applyProtection="1">
      <alignment horizontal="center" vertical="center"/>
      <protection hidden="1"/>
    </xf>
    <xf numFmtId="41" fontId="25" fillId="4" borderId="24" xfId="0" applyNumberFormat="1" applyFont="1" applyFill="1" applyBorder="1" applyAlignment="1" applyProtection="1">
      <alignment horizontal="center" vertical="center"/>
      <protection hidden="1"/>
    </xf>
    <xf numFmtId="41" fontId="24" fillId="0" borderId="77" xfId="0" applyNumberFormat="1" applyFont="1" applyBorder="1" applyAlignment="1" applyProtection="1">
      <alignment horizontal="center" vertical="center"/>
      <protection hidden="1"/>
    </xf>
    <xf numFmtId="41" fontId="24" fillId="0" borderId="78" xfId="0" applyNumberFormat="1" applyFont="1" applyBorder="1" applyAlignment="1" applyProtection="1">
      <alignment horizontal="center" vertical="center"/>
      <protection hidden="1"/>
    </xf>
    <xf numFmtId="41" fontId="24" fillId="0" borderId="84" xfId="1" applyFont="1" applyFill="1" applyBorder="1" applyAlignment="1" applyProtection="1">
      <alignment horizontal="center" vertical="center"/>
      <protection hidden="1"/>
    </xf>
    <xf numFmtId="41" fontId="24" fillId="0" borderId="81" xfId="1" applyFont="1" applyFill="1" applyBorder="1" applyAlignment="1" applyProtection="1">
      <alignment horizontal="center" vertical="center"/>
      <protection hidden="1"/>
    </xf>
    <xf numFmtId="41" fontId="26" fillId="6" borderId="84" xfId="1" applyFont="1" applyFill="1" applyBorder="1" applyAlignment="1" applyProtection="1">
      <alignment horizontal="center" vertical="center"/>
      <protection locked="0"/>
    </xf>
    <xf numFmtId="41" fontId="26" fillId="6" borderId="81" xfId="1" applyFont="1" applyFill="1" applyBorder="1" applyAlignment="1" applyProtection="1">
      <alignment horizontal="center" vertical="center"/>
      <protection locked="0"/>
    </xf>
    <xf numFmtId="0" fontId="34" fillId="0" borderId="71" xfId="0" applyFont="1" applyBorder="1" applyAlignment="1" applyProtection="1">
      <alignment horizontal="center" vertical="center" shrinkToFit="1"/>
      <protection hidden="1"/>
    </xf>
    <xf numFmtId="0" fontId="34" fillId="0" borderId="55" xfId="0" applyFont="1" applyBorder="1" applyAlignment="1" applyProtection="1">
      <alignment horizontal="center" vertical="center" shrinkToFit="1"/>
      <protection hidden="1"/>
    </xf>
    <xf numFmtId="0" fontId="34" fillId="0" borderId="76" xfId="0" applyFont="1" applyBorder="1" applyAlignment="1" applyProtection="1">
      <alignment horizontal="center" vertical="center" shrinkToFit="1"/>
      <protection hidden="1"/>
    </xf>
    <xf numFmtId="0" fontId="35" fillId="0" borderId="52" xfId="0" applyFont="1" applyBorder="1" applyAlignment="1" applyProtection="1">
      <alignment horizontal="center" vertical="center"/>
      <protection hidden="1"/>
    </xf>
    <xf numFmtId="0" fontId="35" fillId="0" borderId="24" xfId="0" applyFont="1" applyBorder="1" applyAlignment="1" applyProtection="1">
      <alignment horizontal="center" vertical="center"/>
      <protection hidden="1"/>
    </xf>
    <xf numFmtId="0" fontId="36" fillId="0" borderId="22" xfId="4" applyFont="1" applyBorder="1" applyAlignment="1" applyProtection="1">
      <alignment horizontal="center" vertical="center" wrapText="1"/>
      <protection hidden="1"/>
    </xf>
    <xf numFmtId="0" fontId="36" fillId="0" borderId="24" xfId="4" applyFont="1" applyBorder="1" applyAlignment="1" applyProtection="1">
      <alignment horizontal="center" vertical="center" wrapText="1"/>
      <protection hidden="1"/>
    </xf>
    <xf numFmtId="177" fontId="0" fillId="0" borderId="79" xfId="1" applyNumberFormat="1" applyFont="1" applyFill="1" applyBorder="1" applyAlignment="1" applyProtection="1">
      <alignment horizontal="center" vertical="center"/>
      <protection hidden="1"/>
    </xf>
    <xf numFmtId="177" fontId="0" fillId="0" borderId="76" xfId="1" applyNumberFormat="1" applyFont="1" applyFill="1" applyBorder="1" applyAlignment="1" applyProtection="1">
      <alignment horizontal="center" vertical="center"/>
      <protection hidden="1"/>
    </xf>
    <xf numFmtId="41" fontId="15" fillId="8" borderId="41" xfId="1" applyFont="1" applyFill="1" applyBorder="1" applyAlignment="1" applyProtection="1">
      <alignment horizontal="center" vertical="center"/>
      <protection hidden="1"/>
    </xf>
    <xf numFmtId="41" fontId="15" fillId="8" borderId="81" xfId="1" applyFont="1" applyFill="1" applyBorder="1" applyAlignment="1" applyProtection="1">
      <alignment horizontal="center" vertical="center"/>
      <protection hidden="1"/>
    </xf>
    <xf numFmtId="41" fontId="15" fillId="8" borderId="77" xfId="1" applyFont="1" applyFill="1" applyBorder="1" applyAlignment="1" applyProtection="1">
      <alignment horizontal="center" vertical="center"/>
      <protection hidden="1"/>
    </xf>
    <xf numFmtId="41" fontId="15" fillId="8" borderId="78" xfId="1" applyFont="1" applyFill="1" applyBorder="1" applyAlignment="1" applyProtection="1">
      <alignment horizontal="center" vertical="center"/>
      <protection hidden="1"/>
    </xf>
    <xf numFmtId="177" fontId="26" fillId="6" borderId="84" xfId="0" applyNumberFormat="1" applyFont="1" applyFill="1" applyBorder="1" applyAlignment="1" applyProtection="1">
      <alignment horizontal="center" vertical="center"/>
      <protection locked="0"/>
    </xf>
    <xf numFmtId="177" fontId="26" fillId="6" borderId="81" xfId="0" applyNumberFormat="1" applyFont="1" applyFill="1" applyBorder="1" applyAlignment="1" applyProtection="1">
      <alignment horizontal="center" vertical="center"/>
      <protection locked="0"/>
    </xf>
    <xf numFmtId="177" fontId="26" fillId="6" borderId="83" xfId="0" applyNumberFormat="1" applyFont="1" applyFill="1" applyBorder="1" applyAlignment="1" applyProtection="1">
      <alignment horizontal="center" vertical="center"/>
      <protection locked="0"/>
    </xf>
    <xf numFmtId="177" fontId="26" fillId="6" borderId="78" xfId="0" applyNumberFormat="1" applyFont="1" applyFill="1" applyBorder="1" applyAlignment="1" applyProtection="1">
      <alignment horizontal="center" vertical="center"/>
      <protection locked="0"/>
    </xf>
    <xf numFmtId="41" fontId="15" fillId="8" borderId="35" xfId="1" applyFont="1" applyFill="1" applyBorder="1" applyAlignment="1" applyProtection="1">
      <alignment horizontal="center" vertical="center"/>
      <protection hidden="1"/>
    </xf>
    <xf numFmtId="41" fontId="15" fillId="8" borderId="60" xfId="1" applyFont="1" applyFill="1" applyBorder="1" applyAlignment="1" applyProtection="1">
      <alignment horizontal="center" vertical="center"/>
      <protection hidden="1"/>
    </xf>
    <xf numFmtId="41" fontId="37" fillId="0" borderId="71" xfId="1" applyFont="1" applyFill="1" applyBorder="1" applyAlignment="1" applyProtection="1">
      <alignment horizontal="center" vertical="center"/>
      <protection hidden="1"/>
    </xf>
    <xf numFmtId="41" fontId="37" fillId="0" borderId="55" xfId="1" applyFont="1" applyFill="1" applyBorder="1" applyAlignment="1" applyProtection="1">
      <alignment horizontal="center" vertical="center"/>
      <protection hidden="1"/>
    </xf>
    <xf numFmtId="41" fontId="15" fillId="0" borderId="71" xfId="1" applyFont="1" applyFill="1" applyBorder="1" applyAlignment="1" applyProtection="1">
      <alignment horizontal="center" vertical="center"/>
      <protection hidden="1"/>
    </xf>
    <xf numFmtId="41" fontId="15" fillId="0" borderId="76" xfId="1" applyFont="1" applyFill="1" applyBorder="1" applyAlignment="1" applyProtection="1">
      <alignment horizontal="center" vertical="center"/>
      <protection hidden="1"/>
    </xf>
    <xf numFmtId="0" fontId="35" fillId="0" borderId="50" xfId="0" applyFont="1" applyBorder="1" applyAlignment="1" applyProtection="1">
      <alignment horizontal="center" vertical="center"/>
      <protection hidden="1"/>
    </xf>
    <xf numFmtId="0" fontId="8" fillId="0" borderId="13" xfId="0" applyFont="1" applyBorder="1" applyAlignment="1" applyProtection="1">
      <alignment horizontal="center" vertical="center" shrinkToFit="1"/>
      <protection hidden="1"/>
    </xf>
    <xf numFmtId="0" fontId="8" fillId="0" borderId="18" xfId="0" applyFont="1" applyBorder="1" applyAlignment="1" applyProtection="1">
      <alignment horizontal="center" vertical="center" shrinkToFit="1"/>
      <protection hidden="1"/>
    </xf>
    <xf numFmtId="177" fontId="29" fillId="8" borderId="22" xfId="0" applyNumberFormat="1" applyFont="1" applyFill="1" applyBorder="1" applyAlignment="1" applyProtection="1">
      <alignment horizontal="center" vertical="center"/>
      <protection hidden="1"/>
    </xf>
    <xf numFmtId="177" fontId="29" fillId="8" borderId="23" xfId="0" applyNumberFormat="1" applyFont="1" applyFill="1" applyBorder="1" applyAlignment="1" applyProtection="1">
      <alignment horizontal="center" vertical="center"/>
      <protection hidden="1"/>
    </xf>
    <xf numFmtId="177" fontId="29" fillId="8" borderId="24" xfId="0" applyNumberFormat="1" applyFont="1" applyFill="1" applyBorder="1" applyAlignment="1" applyProtection="1">
      <alignment horizontal="center" vertical="center"/>
      <protection hidden="1"/>
    </xf>
    <xf numFmtId="41" fontId="12" fillId="0" borderId="22" xfId="1" applyFont="1" applyBorder="1" applyAlignment="1" applyProtection="1">
      <alignment horizontal="center" vertical="center"/>
      <protection hidden="1"/>
    </xf>
    <xf numFmtId="41" fontId="12" fillId="0" borderId="23" xfId="1" applyFont="1" applyBorder="1" applyAlignment="1" applyProtection="1">
      <alignment horizontal="center" vertical="center"/>
      <protection hidden="1"/>
    </xf>
    <xf numFmtId="41" fontId="12" fillId="0" borderId="24" xfId="1" applyFont="1" applyBorder="1" applyAlignment="1" applyProtection="1">
      <alignment horizontal="center" vertical="center"/>
      <protection hidden="1"/>
    </xf>
    <xf numFmtId="41" fontId="8" fillId="0" borderId="14" xfId="1" applyFont="1" applyBorder="1" applyAlignment="1" applyProtection="1">
      <alignment horizontal="center" vertical="center" shrinkToFit="1"/>
      <protection hidden="1"/>
    </xf>
    <xf numFmtId="41" fontId="8" fillId="0" borderId="19" xfId="1" applyFont="1" applyBorder="1" applyAlignment="1" applyProtection="1">
      <alignment horizontal="center" vertical="center" shrinkToFit="1"/>
      <protection hidden="1"/>
    </xf>
    <xf numFmtId="0" fontId="8" fillId="0" borderId="15" xfId="0" applyFont="1" applyBorder="1" applyAlignment="1" applyProtection="1">
      <alignment horizontal="center" vertical="center" shrinkToFit="1"/>
      <protection hidden="1"/>
    </xf>
    <xf numFmtId="0" fontId="8" fillId="0" borderId="20" xfId="0" applyFont="1" applyBorder="1" applyAlignment="1" applyProtection="1">
      <alignment horizontal="center" vertical="center" shrinkToFit="1"/>
      <protection hidden="1"/>
    </xf>
    <xf numFmtId="0" fontId="8" fillId="0" borderId="16" xfId="0" applyFont="1" applyBorder="1" applyAlignment="1" applyProtection="1">
      <alignment horizontal="center" vertical="center" shrinkToFit="1"/>
      <protection hidden="1"/>
    </xf>
    <xf numFmtId="0" fontId="8" fillId="0" borderId="21" xfId="0" applyFont="1" applyBorder="1" applyAlignment="1" applyProtection="1">
      <alignment horizontal="center" vertical="center" shrinkToFit="1"/>
      <protection hidden="1"/>
    </xf>
    <xf numFmtId="41" fontId="8" fillId="0" borderId="12" xfId="1" applyFont="1" applyBorder="1" applyAlignment="1" applyProtection="1">
      <alignment horizontal="center" vertical="center" shrinkToFit="1"/>
      <protection hidden="1"/>
    </xf>
    <xf numFmtId="41" fontId="8" fillId="0" borderId="17" xfId="1" applyFont="1" applyBorder="1" applyAlignment="1" applyProtection="1">
      <alignment horizontal="center" vertical="center" shrinkToFit="1"/>
      <protection hidden="1"/>
    </xf>
    <xf numFmtId="41" fontId="9" fillId="0" borderId="13" xfId="1" applyFont="1" applyBorder="1" applyAlignment="1" applyProtection="1">
      <alignment horizontal="center" vertical="center"/>
      <protection hidden="1"/>
    </xf>
    <xf numFmtId="41" fontId="11" fillId="0" borderId="18" xfId="1" applyFont="1" applyBorder="1" applyAlignment="1" applyProtection="1">
      <alignment horizontal="center" vertical="center"/>
      <protection hidden="1"/>
    </xf>
    <xf numFmtId="0" fontId="25" fillId="6" borderId="56" xfId="0" applyFont="1" applyFill="1" applyBorder="1" applyAlignment="1" applyProtection="1">
      <alignment horizontal="center" vertical="center"/>
      <protection locked="0"/>
    </xf>
    <xf numFmtId="0" fontId="25" fillId="6" borderId="25" xfId="0" applyFont="1" applyFill="1" applyBorder="1" applyAlignment="1" applyProtection="1">
      <alignment horizontal="center" vertical="center"/>
      <protection locked="0"/>
    </xf>
    <xf numFmtId="177" fontId="0" fillId="3" borderId="41" xfId="1" applyNumberFormat="1" applyFont="1" applyFill="1" applyBorder="1" applyAlignment="1" applyProtection="1">
      <alignment horizontal="center" vertical="center"/>
      <protection locked="0"/>
    </xf>
    <xf numFmtId="177" fontId="0" fillId="3" borderId="81" xfId="1" applyNumberFormat="1" applyFont="1" applyFill="1" applyBorder="1" applyAlignment="1" applyProtection="1">
      <alignment horizontal="center" vertical="center"/>
      <protection locked="0"/>
    </xf>
    <xf numFmtId="0" fontId="34" fillId="0" borderId="79" xfId="0" applyFont="1" applyBorder="1" applyAlignment="1" applyProtection="1">
      <alignment horizontal="center" vertical="center" shrinkToFit="1"/>
      <protection hidden="1"/>
    </xf>
    <xf numFmtId="0" fontId="6" fillId="6" borderId="8" xfId="0" applyFont="1" applyFill="1" applyBorder="1" applyAlignment="1" applyProtection="1">
      <alignment horizontal="center" vertical="center" shrinkToFit="1"/>
      <protection hidden="1"/>
    </xf>
    <xf numFmtId="0" fontId="6" fillId="6" borderId="9" xfId="0" applyFont="1" applyFill="1" applyBorder="1" applyAlignment="1" applyProtection="1">
      <alignment horizontal="center" vertical="center" shrinkToFit="1"/>
      <protection hidden="1"/>
    </xf>
    <xf numFmtId="0" fontId="6" fillId="6" borderId="10" xfId="0" applyFont="1" applyFill="1" applyBorder="1" applyAlignment="1" applyProtection="1">
      <alignment horizontal="center" vertical="center" shrinkToFit="1"/>
      <protection hidden="1"/>
    </xf>
    <xf numFmtId="0" fontId="6" fillId="3" borderId="8" xfId="0" applyFont="1" applyFill="1" applyBorder="1" applyAlignment="1" applyProtection="1">
      <alignment horizontal="center" vertical="center" shrinkToFit="1"/>
      <protection hidden="1"/>
    </xf>
    <xf numFmtId="0" fontId="6" fillId="3" borderId="9" xfId="0" applyFont="1" applyFill="1" applyBorder="1" applyAlignment="1" applyProtection="1">
      <alignment horizontal="center" vertical="center" shrinkToFit="1"/>
      <protection hidden="1"/>
    </xf>
    <xf numFmtId="0" fontId="6" fillId="3" borderId="10" xfId="0" applyFont="1" applyFill="1" applyBorder="1" applyAlignment="1" applyProtection="1">
      <alignment horizontal="center" vertical="center" shrinkToFit="1"/>
      <protection hidden="1"/>
    </xf>
    <xf numFmtId="0" fontId="5" fillId="0" borderId="1" xfId="0" applyFont="1" applyBorder="1" applyAlignment="1" applyProtection="1">
      <alignment horizontal="center" vertical="center" wrapText="1" shrinkToFit="1"/>
      <protection hidden="1"/>
    </xf>
    <xf numFmtId="0" fontId="5" fillId="0" borderId="2" xfId="0" applyFont="1" applyBorder="1" applyAlignment="1" applyProtection="1">
      <alignment horizontal="center" vertical="center" wrapText="1" shrinkToFit="1"/>
      <protection hidden="1"/>
    </xf>
    <xf numFmtId="0" fontId="5" fillId="2" borderId="1" xfId="0" applyFont="1" applyFill="1" applyBorder="1" applyAlignment="1" applyProtection="1">
      <alignment horizontal="center" vertical="center" wrapText="1" shrinkToFit="1"/>
      <protection hidden="1"/>
    </xf>
    <xf numFmtId="0" fontId="5" fillId="2" borderId="2" xfId="0" applyFont="1" applyFill="1" applyBorder="1" applyAlignment="1" applyProtection="1">
      <alignment horizontal="center" vertical="center" wrapText="1" shrinkToFit="1"/>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6" fillId="5" borderId="8" xfId="0" applyFont="1" applyFill="1" applyBorder="1" applyAlignment="1" applyProtection="1">
      <alignment horizontal="center" vertical="center" shrinkToFit="1"/>
      <protection hidden="1"/>
    </xf>
    <xf numFmtId="0" fontId="6" fillId="5" borderId="9" xfId="0" applyFont="1" applyFill="1" applyBorder="1" applyAlignment="1" applyProtection="1">
      <alignment horizontal="center" vertical="center" shrinkToFit="1"/>
      <protection hidden="1"/>
    </xf>
    <xf numFmtId="0" fontId="6" fillId="5" borderId="10" xfId="0" applyFont="1" applyFill="1" applyBorder="1" applyAlignment="1" applyProtection="1">
      <alignment horizontal="center" vertical="center" shrinkToFit="1"/>
      <protection hidden="1"/>
    </xf>
    <xf numFmtId="0" fontId="24" fillId="0" borderId="41" xfId="0" applyFont="1" applyBorder="1" applyAlignment="1" applyProtection="1">
      <alignment horizontal="center" vertical="center"/>
      <protection hidden="1"/>
    </xf>
    <xf numFmtId="0" fontId="24" fillId="0" borderId="81" xfId="0" applyFont="1" applyBorder="1" applyAlignment="1" applyProtection="1">
      <alignment horizontal="center" vertical="center"/>
      <protection hidden="1"/>
    </xf>
    <xf numFmtId="9" fontId="26" fillId="6" borderId="77" xfId="2" applyFont="1" applyFill="1" applyBorder="1" applyAlignment="1" applyProtection="1">
      <alignment horizontal="center" vertical="center"/>
      <protection hidden="1"/>
    </xf>
    <xf numFmtId="9" fontId="26" fillId="6" borderId="78" xfId="2" applyFont="1" applyFill="1" applyBorder="1" applyAlignment="1" applyProtection="1">
      <alignment horizontal="center" vertical="center"/>
      <protection hidden="1"/>
    </xf>
    <xf numFmtId="182" fontId="25" fillId="6" borderId="56" xfId="0" applyNumberFormat="1" applyFont="1" applyFill="1" applyBorder="1" applyAlignment="1" applyProtection="1">
      <alignment horizontal="center" vertical="center"/>
      <protection locked="0"/>
    </xf>
    <xf numFmtId="14" fontId="25" fillId="6" borderId="58" xfId="0" applyNumberFormat="1" applyFont="1" applyFill="1" applyBorder="1" applyAlignment="1" applyProtection="1">
      <alignment horizontal="center" vertical="center"/>
      <protection locked="0"/>
    </xf>
    <xf numFmtId="182" fontId="25" fillId="0" borderId="22" xfId="0" applyNumberFormat="1" applyFont="1" applyBorder="1" applyAlignment="1" applyProtection="1">
      <alignment horizontal="center" vertical="center"/>
      <protection hidden="1"/>
    </xf>
    <xf numFmtId="182" fontId="25" fillId="0" borderId="23" xfId="0" applyNumberFormat="1" applyFont="1" applyBorder="1" applyAlignment="1" applyProtection="1">
      <alignment horizontal="center" vertical="center"/>
      <protection hidden="1"/>
    </xf>
    <xf numFmtId="0" fontId="25" fillId="6" borderId="77" xfId="0" applyFont="1" applyFill="1" applyBorder="1" applyAlignment="1" applyProtection="1">
      <alignment horizontal="center" vertical="center"/>
      <protection locked="0"/>
    </xf>
    <xf numFmtId="0" fontId="25" fillId="6" borderId="60" xfId="0" applyFont="1" applyFill="1" applyBorder="1" applyAlignment="1" applyProtection="1">
      <alignment horizontal="center" vertical="center"/>
      <protection locked="0"/>
    </xf>
    <xf numFmtId="0" fontId="0" fillId="0" borderId="79" xfId="0" applyBorder="1" applyAlignment="1" applyProtection="1">
      <alignment horizontal="center" vertical="center"/>
      <protection hidden="1"/>
    </xf>
    <xf numFmtId="0" fontId="0" fillId="0" borderId="55" xfId="0" applyBorder="1" applyAlignment="1" applyProtection="1">
      <alignment horizontal="center" vertical="center"/>
      <protection hidden="1"/>
    </xf>
    <xf numFmtId="0" fontId="28" fillId="6" borderId="71" xfId="0" applyFont="1" applyFill="1" applyBorder="1" applyAlignment="1" applyProtection="1">
      <alignment horizontal="center" vertical="center"/>
      <protection hidden="1"/>
    </xf>
    <xf numFmtId="0" fontId="28" fillId="6" borderId="80" xfId="0" applyFont="1" applyFill="1" applyBorder="1" applyAlignment="1" applyProtection="1">
      <alignment horizontal="center" vertical="center"/>
      <protection hidden="1"/>
    </xf>
    <xf numFmtId="0" fontId="28" fillId="6" borderId="76" xfId="0" applyFont="1" applyFill="1" applyBorder="1" applyAlignment="1" applyProtection="1">
      <alignment horizontal="center" vertical="center"/>
      <protection hidden="1"/>
    </xf>
    <xf numFmtId="0" fontId="25" fillId="0" borderId="54" xfId="0" applyFont="1" applyBorder="1" applyAlignment="1" applyProtection="1">
      <alignment horizontal="center" vertical="center"/>
      <protection hidden="1"/>
    </xf>
    <xf numFmtId="0" fontId="25" fillId="0" borderId="56" xfId="0" applyFont="1" applyBorder="1" applyAlignment="1" applyProtection="1">
      <alignment horizontal="center" vertical="center"/>
      <protection hidden="1"/>
    </xf>
    <xf numFmtId="0" fontId="25" fillId="0" borderId="25" xfId="0" applyFont="1" applyBorder="1" applyAlignment="1" applyProtection="1">
      <alignment horizontal="center" vertical="center"/>
      <protection hidden="1"/>
    </xf>
    <xf numFmtId="0" fontId="26" fillId="6" borderId="51" xfId="0" applyFont="1" applyFill="1" applyBorder="1" applyAlignment="1" applyProtection="1">
      <alignment horizontal="center" vertical="center"/>
      <protection locked="0"/>
    </xf>
    <xf numFmtId="0" fontId="26" fillId="6" borderId="74" xfId="0" applyFont="1" applyFill="1" applyBorder="1" applyAlignment="1" applyProtection="1">
      <alignment horizontal="center" vertical="center"/>
      <protection locked="0"/>
    </xf>
    <xf numFmtId="0" fontId="27" fillId="0" borderId="22" xfId="0" applyFont="1" applyBorder="1" applyAlignment="1" applyProtection="1">
      <alignment horizontal="center" vertical="center"/>
      <protection hidden="1"/>
    </xf>
    <xf numFmtId="0" fontId="27" fillId="0" borderId="23" xfId="0" applyFont="1" applyBorder="1" applyAlignment="1" applyProtection="1">
      <alignment horizontal="center" vertical="center"/>
      <protection hidden="1"/>
    </xf>
    <xf numFmtId="0" fontId="27" fillId="0" borderId="24" xfId="0" applyFont="1" applyBorder="1" applyAlignment="1" applyProtection="1">
      <alignment horizontal="center" vertical="center"/>
      <protection hidden="1"/>
    </xf>
    <xf numFmtId="9" fontId="26" fillId="6" borderId="71" xfId="2" applyFont="1" applyFill="1" applyBorder="1" applyAlignment="1" applyProtection="1">
      <alignment horizontal="center" vertical="center"/>
      <protection hidden="1"/>
    </xf>
    <xf numFmtId="9" fontId="26" fillId="6" borderId="76" xfId="2" applyFont="1" applyFill="1" applyBorder="1" applyAlignment="1" applyProtection="1">
      <alignment horizontal="center" vertical="center"/>
      <protection hidden="1"/>
    </xf>
    <xf numFmtId="182" fontId="25" fillId="11" borderId="22" xfId="0" applyNumberFormat="1" applyFont="1" applyFill="1" applyBorder="1" applyAlignment="1" applyProtection="1">
      <alignment horizontal="center" vertical="center"/>
      <protection hidden="1"/>
    </xf>
    <xf numFmtId="182" fontId="25" fillId="11" borderId="23" xfId="0" applyNumberFormat="1" applyFont="1" applyFill="1" applyBorder="1" applyAlignment="1" applyProtection="1">
      <alignment horizontal="center" vertical="center"/>
      <protection hidden="1"/>
    </xf>
    <xf numFmtId="0" fontId="0" fillId="0" borderId="57" xfId="0" applyBorder="1" applyAlignment="1" applyProtection="1">
      <alignment horizontal="center" vertical="center"/>
      <protection hidden="1"/>
    </xf>
    <xf numFmtId="0" fontId="0" fillId="0" borderId="58" xfId="0" applyBorder="1" applyAlignment="1" applyProtection="1">
      <alignment horizontal="center" vertical="center"/>
      <protection hidden="1"/>
    </xf>
    <xf numFmtId="0" fontId="28" fillId="0" borderId="58" xfId="0" applyFont="1" applyBorder="1" applyAlignment="1" applyProtection="1">
      <alignment horizontal="center" vertical="center"/>
      <protection hidden="1"/>
    </xf>
    <xf numFmtId="0" fontId="28" fillId="0" borderId="47" xfId="0" applyFont="1" applyBorder="1" applyAlignment="1" applyProtection="1">
      <alignment horizontal="center" vertical="center"/>
      <protection hidden="1"/>
    </xf>
    <xf numFmtId="182" fontId="25" fillId="9" borderId="22" xfId="0" applyNumberFormat="1" applyFont="1" applyFill="1" applyBorder="1" applyAlignment="1" applyProtection="1">
      <alignment horizontal="center" vertical="center"/>
      <protection hidden="1"/>
    </xf>
    <xf numFmtId="182" fontId="25" fillId="9" borderId="23" xfId="0" applyNumberFormat="1" applyFont="1" applyFill="1" applyBorder="1" applyAlignment="1" applyProtection="1">
      <alignment horizontal="center" vertical="center"/>
      <protection hidden="1"/>
    </xf>
    <xf numFmtId="0" fontId="24" fillId="0" borderId="36" xfId="0" applyFont="1" applyBorder="1" applyProtection="1">
      <alignment vertical="center"/>
      <protection hidden="1"/>
    </xf>
    <xf numFmtId="0" fontId="24" fillId="0" borderId="32" xfId="0" applyFont="1" applyBorder="1" applyProtection="1">
      <alignment vertical="center"/>
      <protection hidden="1"/>
    </xf>
    <xf numFmtId="177" fontId="0" fillId="0" borderId="41" xfId="1" applyNumberFormat="1" applyFont="1" applyFill="1" applyBorder="1" applyAlignment="1" applyProtection="1">
      <alignment horizontal="center" vertical="center"/>
      <protection hidden="1"/>
    </xf>
    <xf numFmtId="177" fontId="0" fillId="0" borderId="81" xfId="1" applyNumberFormat="1" applyFont="1" applyFill="1" applyBorder="1" applyAlignment="1" applyProtection="1">
      <alignment horizontal="center" vertical="center"/>
      <protection hidden="1"/>
    </xf>
    <xf numFmtId="0" fontId="25" fillId="3" borderId="22" xfId="0" applyFont="1" applyFill="1" applyBorder="1" applyAlignment="1" applyProtection="1">
      <alignment horizontal="center" vertical="center"/>
      <protection hidden="1"/>
    </xf>
    <xf numFmtId="0" fontId="25" fillId="3" borderId="23" xfId="0" applyFont="1" applyFill="1" applyBorder="1" applyAlignment="1" applyProtection="1">
      <alignment horizontal="center" vertical="center"/>
      <protection hidden="1"/>
    </xf>
    <xf numFmtId="0" fontId="25" fillId="3" borderId="24" xfId="0" applyFont="1" applyFill="1" applyBorder="1" applyAlignment="1" applyProtection="1">
      <alignment horizontal="center" vertical="center"/>
      <protection hidden="1"/>
    </xf>
    <xf numFmtId="0" fontId="25" fillId="2" borderId="22" xfId="0" applyFont="1" applyFill="1" applyBorder="1" applyAlignment="1" applyProtection="1">
      <alignment horizontal="center" vertical="center"/>
      <protection hidden="1"/>
    </xf>
    <xf numFmtId="0" fontId="25" fillId="2" borderId="23" xfId="0" applyFont="1" applyFill="1" applyBorder="1" applyAlignment="1" applyProtection="1">
      <alignment horizontal="center" vertical="center"/>
      <protection hidden="1"/>
    </xf>
    <xf numFmtId="0" fontId="25" fillId="2" borderId="24" xfId="0" applyFont="1" applyFill="1" applyBorder="1" applyAlignment="1" applyProtection="1">
      <alignment horizontal="center" vertical="center"/>
      <protection hidden="1"/>
    </xf>
    <xf numFmtId="0" fontId="25" fillId="4" borderId="22" xfId="0" applyFont="1" applyFill="1" applyBorder="1" applyAlignment="1" applyProtection="1">
      <alignment horizontal="center" vertical="center"/>
      <protection hidden="1"/>
    </xf>
    <xf numFmtId="0" fontId="25" fillId="4" borderId="23" xfId="0" applyFont="1" applyFill="1" applyBorder="1" applyAlignment="1" applyProtection="1">
      <alignment horizontal="center" vertical="center"/>
      <protection hidden="1"/>
    </xf>
    <xf numFmtId="0" fontId="25" fillId="4" borderId="24" xfId="0" applyFont="1" applyFill="1" applyBorder="1" applyAlignment="1" applyProtection="1">
      <alignment horizontal="center" vertical="center"/>
      <protection hidden="1"/>
    </xf>
    <xf numFmtId="184" fontId="26" fillId="0" borderId="71" xfId="2" applyNumberFormat="1" applyFont="1" applyFill="1" applyBorder="1" applyAlignment="1" applyProtection="1">
      <alignment horizontal="center" vertical="center"/>
      <protection hidden="1"/>
    </xf>
    <xf numFmtId="184" fontId="26" fillId="0" borderId="76" xfId="2" applyNumberFormat="1" applyFont="1" applyFill="1" applyBorder="1" applyAlignment="1" applyProtection="1">
      <alignment horizontal="center" vertical="center"/>
      <protection hidden="1"/>
    </xf>
    <xf numFmtId="0" fontId="25" fillId="0" borderId="22" xfId="0" applyFont="1" applyBorder="1" applyAlignment="1" applyProtection="1">
      <alignment horizontal="center" vertical="center"/>
      <protection hidden="1"/>
    </xf>
    <xf numFmtId="0" fontId="25" fillId="0" borderId="23" xfId="0" applyFont="1" applyBorder="1" applyAlignment="1" applyProtection="1">
      <alignment horizontal="center" vertical="center"/>
      <protection hidden="1"/>
    </xf>
    <xf numFmtId="0" fontId="25" fillId="0" borderId="24" xfId="0" applyFont="1" applyBorder="1" applyAlignment="1" applyProtection="1">
      <alignment horizontal="center" vertical="center"/>
      <protection hidden="1"/>
    </xf>
    <xf numFmtId="0" fontId="25" fillId="8" borderId="22" xfId="0" applyFont="1" applyFill="1" applyBorder="1" applyAlignment="1" applyProtection="1">
      <alignment horizontal="center" vertical="center"/>
      <protection hidden="1"/>
    </xf>
    <xf numFmtId="0" fontId="25" fillId="8" borderId="23" xfId="0" applyFont="1" applyFill="1" applyBorder="1" applyAlignment="1" applyProtection="1">
      <alignment horizontal="center" vertical="center"/>
      <protection hidden="1"/>
    </xf>
    <xf numFmtId="0" fontId="25" fillId="8" borderId="24" xfId="0" applyFont="1" applyFill="1" applyBorder="1" applyAlignment="1" applyProtection="1">
      <alignment horizontal="center" vertical="center"/>
      <protection hidden="1"/>
    </xf>
    <xf numFmtId="177" fontId="0" fillId="2" borderId="41" xfId="0" applyNumberFormat="1" applyFill="1" applyBorder="1" applyAlignment="1" applyProtection="1">
      <alignment horizontal="center" vertical="center"/>
      <protection locked="0"/>
    </xf>
    <xf numFmtId="177" fontId="0" fillId="2" borderId="81" xfId="0" applyNumberFormat="1" applyFill="1" applyBorder="1" applyAlignment="1" applyProtection="1">
      <alignment horizontal="center" vertical="center"/>
      <protection locked="0"/>
    </xf>
    <xf numFmtId="177" fontId="0" fillId="4" borderId="71" xfId="1" applyNumberFormat="1" applyFont="1" applyFill="1" applyBorder="1" applyAlignment="1" applyProtection="1">
      <alignment horizontal="center" vertical="center"/>
      <protection locked="0"/>
    </xf>
    <xf numFmtId="177" fontId="0" fillId="4" borderId="76" xfId="1" applyNumberFormat="1" applyFont="1" applyFill="1" applyBorder="1" applyAlignment="1" applyProtection="1">
      <alignment horizontal="center" vertical="center"/>
      <protection locked="0"/>
    </xf>
    <xf numFmtId="177" fontId="0" fillId="4" borderId="41" xfId="1" applyNumberFormat="1" applyFont="1" applyFill="1" applyBorder="1" applyAlignment="1" applyProtection="1">
      <alignment horizontal="center" vertical="center"/>
      <protection locked="0"/>
    </xf>
    <xf numFmtId="177" fontId="0" fillId="4" borderId="81" xfId="1" applyNumberFormat="1" applyFont="1" applyFill="1" applyBorder="1" applyAlignment="1" applyProtection="1">
      <alignment horizontal="center" vertical="center"/>
      <protection locked="0"/>
    </xf>
    <xf numFmtId="177" fontId="0" fillId="3" borderId="71" xfId="1" applyNumberFormat="1" applyFont="1" applyFill="1" applyBorder="1" applyAlignment="1" applyProtection="1">
      <alignment horizontal="center" vertical="center"/>
      <protection locked="0"/>
    </xf>
    <xf numFmtId="177" fontId="0" fillId="3" borderId="76" xfId="1" applyNumberFormat="1" applyFont="1" applyFill="1" applyBorder="1" applyAlignment="1" applyProtection="1">
      <alignment horizontal="center" vertical="center"/>
      <protection locked="0"/>
    </xf>
    <xf numFmtId="177" fontId="0" fillId="0" borderId="77" xfId="1" applyNumberFormat="1" applyFont="1" applyFill="1" applyBorder="1" applyAlignment="1" applyProtection="1">
      <alignment horizontal="center" vertical="center"/>
      <protection hidden="1"/>
    </xf>
    <xf numFmtId="177" fontId="0" fillId="0" borderId="78" xfId="1" applyNumberFormat="1" applyFont="1" applyFill="1" applyBorder="1" applyAlignment="1" applyProtection="1">
      <alignment horizontal="center" vertical="center"/>
      <protection hidden="1"/>
    </xf>
    <xf numFmtId="177" fontId="0" fillId="0" borderId="71" xfId="1" applyNumberFormat="1" applyFont="1" applyFill="1" applyBorder="1" applyAlignment="1" applyProtection="1">
      <alignment horizontal="center" vertical="center"/>
      <protection hidden="1"/>
    </xf>
    <xf numFmtId="0" fontId="26" fillId="13" borderId="22" xfId="0" applyFont="1" applyFill="1" applyBorder="1" applyAlignment="1" applyProtection="1">
      <alignment horizontal="center" vertical="center"/>
      <protection hidden="1"/>
    </xf>
    <xf numFmtId="0" fontId="26" fillId="13" borderId="23" xfId="0" applyFont="1" applyFill="1" applyBorder="1" applyAlignment="1" applyProtection="1">
      <alignment horizontal="center" vertical="center"/>
      <protection hidden="1"/>
    </xf>
    <xf numFmtId="0" fontId="26" fillId="13" borderId="24" xfId="0" applyFont="1" applyFill="1" applyBorder="1" applyAlignment="1" applyProtection="1">
      <alignment horizontal="center" vertical="center"/>
      <protection hidden="1"/>
    </xf>
    <xf numFmtId="0" fontId="30" fillId="9" borderId="22" xfId="0" applyFont="1" applyFill="1" applyBorder="1" applyAlignment="1" applyProtection="1">
      <alignment horizontal="center" vertical="center" shrinkToFit="1"/>
      <protection hidden="1"/>
    </xf>
    <xf numFmtId="0" fontId="30" fillId="9" borderId="23" xfId="0" applyFont="1" applyFill="1" applyBorder="1" applyAlignment="1" applyProtection="1">
      <alignment horizontal="center" vertical="center" shrinkToFit="1"/>
      <protection hidden="1"/>
    </xf>
    <xf numFmtId="0" fontId="30" fillId="9" borderId="24" xfId="0" applyFont="1" applyFill="1" applyBorder="1" applyAlignment="1" applyProtection="1">
      <alignment horizontal="center" vertical="center" shrinkToFit="1"/>
      <protection hidden="1"/>
    </xf>
    <xf numFmtId="177" fontId="0" fillId="3" borderId="77" xfId="1" applyNumberFormat="1" applyFont="1" applyFill="1" applyBorder="1" applyAlignment="1" applyProtection="1">
      <alignment horizontal="center" vertical="center"/>
      <protection locked="0"/>
    </xf>
    <xf numFmtId="177" fontId="0" fillId="3" borderId="78" xfId="1" applyNumberFormat="1" applyFont="1" applyFill="1" applyBorder="1" applyAlignment="1" applyProtection="1">
      <alignment horizontal="center" vertical="center"/>
      <protection locked="0"/>
    </xf>
    <xf numFmtId="177" fontId="0" fillId="2" borderId="77" xfId="0" applyNumberFormat="1" applyFill="1" applyBorder="1" applyAlignment="1" applyProtection="1">
      <alignment horizontal="center" vertical="center"/>
      <protection locked="0"/>
    </xf>
    <xf numFmtId="177" fontId="0" fillId="2" borderId="78" xfId="0" applyNumberFormat="1" applyFill="1" applyBorder="1" applyAlignment="1" applyProtection="1">
      <alignment horizontal="center" vertical="center"/>
      <protection locked="0"/>
    </xf>
    <xf numFmtId="177" fontId="0" fillId="4" borderId="77" xfId="1" applyNumberFormat="1" applyFont="1" applyFill="1" applyBorder="1" applyAlignment="1" applyProtection="1">
      <alignment horizontal="center" vertical="center"/>
      <protection locked="0"/>
    </xf>
    <xf numFmtId="177" fontId="0" fillId="4" borderId="78" xfId="1" applyNumberFormat="1" applyFont="1" applyFill="1" applyBorder="1" applyAlignment="1" applyProtection="1">
      <alignment horizontal="center" vertical="center"/>
      <protection locked="0"/>
    </xf>
    <xf numFmtId="0" fontId="25" fillId="12" borderId="22" xfId="0" applyFont="1" applyFill="1" applyBorder="1" applyAlignment="1" applyProtection="1">
      <alignment horizontal="center" vertical="center"/>
      <protection hidden="1"/>
    </xf>
    <xf numFmtId="0" fontId="25" fillId="12" borderId="23" xfId="0" applyFont="1" applyFill="1" applyBorder="1" applyAlignment="1" applyProtection="1">
      <alignment horizontal="center" vertical="center"/>
      <protection hidden="1"/>
    </xf>
    <xf numFmtId="0" fontId="25" fillId="12" borderId="24" xfId="0" applyFont="1" applyFill="1" applyBorder="1" applyAlignment="1" applyProtection="1">
      <alignment horizontal="center" vertical="center"/>
      <protection hidden="1"/>
    </xf>
    <xf numFmtId="0" fontId="27" fillId="0" borderId="79" xfId="0" applyFont="1" applyBorder="1" applyAlignment="1" applyProtection="1">
      <alignment horizontal="center" vertical="center"/>
      <protection hidden="1"/>
    </xf>
    <xf numFmtId="0" fontId="27" fillId="0" borderId="80" xfId="0" applyFont="1" applyBorder="1" applyAlignment="1" applyProtection="1">
      <alignment horizontal="center" vertical="center"/>
      <protection hidden="1"/>
    </xf>
    <xf numFmtId="0" fontId="27" fillId="0" borderId="76" xfId="0" applyFont="1" applyBorder="1" applyAlignment="1" applyProtection="1">
      <alignment horizontal="center" vertical="center"/>
      <protection hidden="1"/>
    </xf>
    <xf numFmtId="0" fontId="25" fillId="10" borderId="22" xfId="0" applyFont="1" applyFill="1" applyBorder="1" applyAlignment="1" applyProtection="1">
      <alignment horizontal="center" vertical="center"/>
      <protection hidden="1"/>
    </xf>
    <xf numFmtId="0" fontId="25" fillId="10" borderId="23" xfId="0" applyFont="1" applyFill="1" applyBorder="1" applyAlignment="1" applyProtection="1">
      <alignment horizontal="center" vertical="center"/>
      <protection hidden="1"/>
    </xf>
    <xf numFmtId="0" fontId="25" fillId="10" borderId="24" xfId="0" applyFont="1" applyFill="1" applyBorder="1" applyAlignment="1" applyProtection="1">
      <alignment horizontal="center" vertical="center"/>
      <protection hidden="1"/>
    </xf>
    <xf numFmtId="0" fontId="30" fillId="16" borderId="67" xfId="0" applyFont="1" applyFill="1" applyBorder="1" applyAlignment="1" applyProtection="1">
      <alignment horizontal="center" vertical="center" shrinkToFit="1"/>
      <protection hidden="1"/>
    </xf>
    <xf numFmtId="0" fontId="30" fillId="16" borderId="68" xfId="0" applyFont="1" applyFill="1" applyBorder="1" applyAlignment="1" applyProtection="1">
      <alignment horizontal="center" vertical="center" shrinkToFit="1"/>
      <protection hidden="1"/>
    </xf>
    <xf numFmtId="0" fontId="30" fillId="16" borderId="62" xfId="0" applyFont="1" applyFill="1" applyBorder="1" applyAlignment="1" applyProtection="1">
      <alignment horizontal="center" vertical="center" shrinkToFit="1"/>
      <protection hidden="1"/>
    </xf>
    <xf numFmtId="0" fontId="30" fillId="16" borderId="86" xfId="0" applyFont="1" applyFill="1" applyBorder="1" applyAlignment="1" applyProtection="1">
      <alignment horizontal="center" vertical="center" shrinkToFit="1"/>
      <protection hidden="1"/>
    </xf>
    <xf numFmtId="0" fontId="30" fillId="16" borderId="87" xfId="0" applyFont="1" applyFill="1" applyBorder="1" applyAlignment="1" applyProtection="1">
      <alignment horizontal="center" vertical="center" shrinkToFit="1"/>
      <protection hidden="1"/>
    </xf>
    <xf numFmtId="0" fontId="30" fillId="16" borderId="64" xfId="0" applyFont="1" applyFill="1" applyBorder="1" applyAlignment="1" applyProtection="1">
      <alignment horizontal="center" vertical="center" shrinkToFit="1"/>
      <protection hidden="1"/>
    </xf>
    <xf numFmtId="0" fontId="30" fillId="6" borderId="22" xfId="0" applyFont="1" applyFill="1" applyBorder="1" applyAlignment="1" applyProtection="1">
      <alignment horizontal="center" vertical="center"/>
      <protection hidden="1"/>
    </xf>
    <xf numFmtId="0" fontId="30" fillId="6" borderId="24" xfId="0" applyFont="1" applyFill="1" applyBorder="1" applyAlignment="1" applyProtection="1">
      <alignment horizontal="center" vertical="center"/>
      <protection hidden="1"/>
    </xf>
    <xf numFmtId="0" fontId="30" fillId="3" borderId="22" xfId="0" applyFont="1" applyFill="1" applyBorder="1" applyAlignment="1" applyProtection="1">
      <alignment horizontal="center" vertical="center"/>
      <protection hidden="1"/>
    </xf>
    <xf numFmtId="0" fontId="30" fillId="3" borderId="24" xfId="0" applyFont="1" applyFill="1" applyBorder="1" applyAlignment="1" applyProtection="1">
      <alignment horizontal="center" vertical="center"/>
      <protection hidden="1"/>
    </xf>
    <xf numFmtId="0" fontId="0" fillId="23" borderId="22" xfId="0" applyFill="1" applyBorder="1" applyAlignment="1" applyProtection="1">
      <alignment horizontal="center" vertical="center"/>
      <protection hidden="1"/>
    </xf>
    <xf numFmtId="0" fontId="0" fillId="23" borderId="50" xfId="0" applyFill="1" applyBorder="1" applyAlignment="1" applyProtection="1">
      <alignment horizontal="center" vertical="center"/>
      <protection hidden="1"/>
    </xf>
    <xf numFmtId="49" fontId="28" fillId="23" borderId="56" xfId="0" applyNumberFormat="1" applyFont="1" applyFill="1" applyBorder="1" applyProtection="1">
      <alignment vertical="center"/>
      <protection hidden="1"/>
    </xf>
    <xf numFmtId="0" fontId="28" fillId="23" borderId="56" xfId="0" applyFont="1" applyFill="1" applyBorder="1" applyProtection="1">
      <alignment vertical="center"/>
      <protection hidden="1"/>
    </xf>
    <xf numFmtId="0" fontId="28" fillId="23" borderId="25" xfId="0" applyFont="1" applyFill="1" applyBorder="1" applyProtection="1">
      <alignment vertical="center"/>
      <protection hidden="1"/>
    </xf>
    <xf numFmtId="0" fontId="0" fillId="23" borderId="54" xfId="0" applyFill="1" applyBorder="1" applyAlignment="1" applyProtection="1">
      <alignment horizontal="center" vertical="center"/>
      <protection hidden="1"/>
    </xf>
    <xf numFmtId="0" fontId="0" fillId="23" borderId="56" xfId="0" applyFill="1" applyBorder="1" applyAlignment="1" applyProtection="1">
      <alignment horizontal="center" vertical="center"/>
      <protection hidden="1"/>
    </xf>
    <xf numFmtId="0" fontId="0" fillId="23" borderId="25" xfId="0" applyFill="1" applyBorder="1" applyAlignment="1" applyProtection="1">
      <alignment horizontal="center" vertical="center"/>
      <protection hidden="1"/>
    </xf>
    <xf numFmtId="0" fontId="28" fillId="23" borderId="36" xfId="0" applyFont="1" applyFill="1" applyBorder="1" applyProtection="1">
      <alignment vertical="center"/>
      <protection hidden="1"/>
    </xf>
    <xf numFmtId="0" fontId="28" fillId="23" borderId="32" xfId="0" applyFont="1" applyFill="1" applyBorder="1" applyProtection="1">
      <alignment vertical="center"/>
      <protection hidden="1"/>
    </xf>
    <xf numFmtId="0" fontId="28" fillId="23" borderId="58" xfId="0" applyFont="1" applyFill="1" applyBorder="1" applyProtection="1">
      <alignment vertical="center"/>
      <protection hidden="1"/>
    </xf>
    <xf numFmtId="0" fontId="28" fillId="23" borderId="47" xfId="0" applyFont="1" applyFill="1" applyBorder="1" applyProtection="1">
      <alignment vertical="center"/>
      <protection hidden="1"/>
    </xf>
    <xf numFmtId="0" fontId="8" fillId="23" borderId="79" xfId="0" applyFont="1" applyFill="1" applyBorder="1" applyAlignment="1" applyProtection="1">
      <alignment horizontal="center" vertical="center" shrinkToFit="1"/>
      <protection hidden="1"/>
    </xf>
    <xf numFmtId="0" fontId="8" fillId="23" borderId="55" xfId="0" applyFont="1" applyFill="1" applyBorder="1" applyAlignment="1" applyProtection="1">
      <alignment horizontal="center" vertical="center" shrinkToFit="1"/>
      <protection hidden="1"/>
    </xf>
    <xf numFmtId="184" fontId="30" fillId="23" borderId="71" xfId="2" applyNumberFormat="1" applyFont="1" applyFill="1" applyBorder="1" applyAlignment="1" applyProtection="1">
      <alignment vertical="center"/>
      <protection hidden="1"/>
    </xf>
    <xf numFmtId="184" fontId="30" fillId="23" borderId="80" xfId="2" applyNumberFormat="1" applyFont="1" applyFill="1" applyBorder="1" applyAlignment="1" applyProtection="1">
      <alignment vertical="center"/>
      <protection hidden="1"/>
    </xf>
    <xf numFmtId="0" fontId="13" fillId="23" borderId="84" xfId="0" applyFont="1" applyFill="1" applyBorder="1" applyAlignment="1" applyProtection="1">
      <alignment horizontal="center" vertical="center"/>
      <protection hidden="1"/>
    </xf>
    <xf numFmtId="0" fontId="13" fillId="23" borderId="35" xfId="0" applyFont="1" applyFill="1" applyBorder="1" applyAlignment="1" applyProtection="1">
      <alignment horizontal="center" vertical="center"/>
      <protection hidden="1"/>
    </xf>
    <xf numFmtId="41" fontId="30" fillId="23" borderId="41" xfId="1" applyFont="1" applyFill="1" applyBorder="1" applyAlignment="1" applyProtection="1">
      <alignment vertical="center"/>
      <protection hidden="1"/>
    </xf>
    <xf numFmtId="41" fontId="30" fillId="23" borderId="198" xfId="1" applyFont="1" applyFill="1" applyBorder="1" applyAlignment="1" applyProtection="1">
      <alignment vertical="center"/>
      <protection hidden="1"/>
    </xf>
    <xf numFmtId="0" fontId="13" fillId="23" borderId="83" xfId="0" applyFont="1" applyFill="1" applyBorder="1" applyAlignment="1" applyProtection="1">
      <alignment horizontal="center" vertical="center"/>
      <protection hidden="1"/>
    </xf>
    <xf numFmtId="0" fontId="13" fillId="23" borderId="60" xfId="0" applyFont="1" applyFill="1" applyBorder="1" applyAlignment="1" applyProtection="1">
      <alignment horizontal="center" vertical="center"/>
      <protection hidden="1"/>
    </xf>
    <xf numFmtId="41" fontId="30" fillId="23" borderId="77" xfId="1" applyFont="1" applyFill="1" applyBorder="1" applyAlignment="1" applyProtection="1">
      <alignment vertical="center"/>
      <protection hidden="1"/>
    </xf>
    <xf numFmtId="41" fontId="30" fillId="23" borderId="202" xfId="1" applyFont="1" applyFill="1" applyBorder="1" applyAlignment="1" applyProtection="1">
      <alignment vertical="center"/>
      <protection hidden="1"/>
    </xf>
    <xf numFmtId="0" fontId="29" fillId="23" borderId="67" xfId="0" applyFont="1" applyFill="1" applyBorder="1" applyAlignment="1" applyProtection="1">
      <alignment horizontal="center" vertical="center"/>
      <protection hidden="1"/>
    </xf>
    <xf numFmtId="0" fontId="29" fillId="23" borderId="68" xfId="0" applyFont="1" applyFill="1" applyBorder="1" applyAlignment="1" applyProtection="1">
      <alignment horizontal="center" vertical="center"/>
      <protection hidden="1"/>
    </xf>
    <xf numFmtId="0" fontId="29" fillId="23" borderId="86" xfId="0" applyFont="1" applyFill="1" applyBorder="1" applyAlignment="1" applyProtection="1">
      <alignment horizontal="center" vertical="center"/>
      <protection hidden="1"/>
    </xf>
    <xf numFmtId="0" fontId="29" fillId="23" borderId="87" xfId="0" applyFont="1" applyFill="1" applyBorder="1" applyAlignment="1" applyProtection="1">
      <alignment horizontal="center" vertical="center"/>
      <protection hidden="1"/>
    </xf>
    <xf numFmtId="0" fontId="30" fillId="24" borderId="229" xfId="0" applyFont="1" applyFill="1" applyBorder="1" applyAlignment="1" applyProtection="1">
      <alignment horizontal="center" vertical="center"/>
      <protection hidden="1"/>
    </xf>
    <xf numFmtId="0" fontId="30" fillId="24" borderId="230" xfId="0" applyFont="1" applyFill="1" applyBorder="1" applyAlignment="1" applyProtection="1">
      <alignment horizontal="center" vertical="center"/>
      <protection hidden="1"/>
    </xf>
    <xf numFmtId="0" fontId="26" fillId="26" borderId="22" xfId="0" applyFont="1" applyFill="1" applyBorder="1" applyAlignment="1" applyProtection="1">
      <alignment horizontal="center" vertical="center"/>
      <protection hidden="1"/>
    </xf>
    <xf numFmtId="0" fontId="26" fillId="26" borderId="23" xfId="0" applyFont="1" applyFill="1" applyBorder="1" applyAlignment="1" applyProtection="1">
      <alignment horizontal="center" vertical="center"/>
      <protection hidden="1"/>
    </xf>
    <xf numFmtId="0" fontId="26" fillId="26" borderId="24" xfId="0" applyFont="1" applyFill="1" applyBorder="1" applyAlignment="1" applyProtection="1">
      <alignment horizontal="center" vertical="center"/>
      <protection hidden="1"/>
    </xf>
    <xf numFmtId="0" fontId="26" fillId="11" borderId="67" xfId="0" applyFont="1" applyFill="1" applyBorder="1" applyAlignment="1" applyProtection="1">
      <alignment horizontal="center" vertical="center"/>
      <protection hidden="1"/>
    </xf>
    <xf numFmtId="0" fontId="26" fillId="11" borderId="68" xfId="0" applyFont="1" applyFill="1" applyBorder="1" applyAlignment="1" applyProtection="1">
      <alignment horizontal="center" vertical="center"/>
      <protection hidden="1"/>
    </xf>
    <xf numFmtId="0" fontId="26" fillId="11" borderId="82" xfId="0" applyFont="1" applyFill="1" applyBorder="1" applyAlignment="1" applyProtection="1">
      <alignment horizontal="center" vertical="center"/>
      <protection hidden="1"/>
    </xf>
    <xf numFmtId="0" fontId="26" fillId="11" borderId="0" xfId="0" applyFont="1" applyFill="1" applyAlignment="1" applyProtection="1">
      <alignment horizontal="center" vertical="center"/>
      <protection hidden="1"/>
    </xf>
    <xf numFmtId="0" fontId="31" fillId="6" borderId="71" xfId="0" applyFont="1" applyFill="1" applyBorder="1" applyAlignment="1" applyProtection="1">
      <alignment horizontal="center" vertical="center"/>
      <protection hidden="1"/>
    </xf>
    <xf numFmtId="0" fontId="31" fillId="6" borderId="80" xfId="0" applyFont="1" applyFill="1" applyBorder="1" applyAlignment="1" applyProtection="1">
      <alignment horizontal="center" vertical="center"/>
      <protection hidden="1"/>
    </xf>
    <xf numFmtId="0" fontId="24" fillId="11" borderId="41" xfId="0" applyFont="1" applyFill="1" applyBorder="1" applyAlignment="1" applyProtection="1">
      <alignment horizontal="center" vertical="center"/>
      <protection hidden="1"/>
    </xf>
    <xf numFmtId="0" fontId="24" fillId="11" borderId="198" xfId="0" applyFont="1" applyFill="1" applyBorder="1" applyAlignment="1" applyProtection="1">
      <alignment horizontal="center" vertical="center"/>
      <protection hidden="1"/>
    </xf>
    <xf numFmtId="0" fontId="24" fillId="6" borderId="41" xfId="0" applyFont="1" applyFill="1" applyBorder="1" applyAlignment="1" applyProtection="1">
      <alignment horizontal="center" vertical="center"/>
      <protection hidden="1"/>
    </xf>
    <xf numFmtId="0" fontId="24" fillId="6" borderId="198" xfId="0" applyFont="1" applyFill="1" applyBorder="1" applyAlignment="1" applyProtection="1">
      <alignment horizontal="center" vertical="center"/>
      <protection hidden="1"/>
    </xf>
    <xf numFmtId="0" fontId="24" fillId="6" borderId="36" xfId="0" applyFont="1" applyFill="1" applyBorder="1" applyAlignment="1" applyProtection="1">
      <alignment horizontal="center" vertical="center" wrapText="1"/>
      <protection hidden="1"/>
    </xf>
    <xf numFmtId="0" fontId="24" fillId="6" borderId="36" xfId="0" applyFont="1" applyFill="1" applyBorder="1" applyAlignment="1" applyProtection="1">
      <alignment horizontal="center" vertical="center"/>
      <protection hidden="1"/>
    </xf>
    <xf numFmtId="184" fontId="30" fillId="23" borderId="52" xfId="2" applyNumberFormat="1" applyFont="1" applyFill="1" applyBorder="1" applyAlignment="1" applyProtection="1">
      <alignment horizontal="left" vertical="center"/>
      <protection hidden="1"/>
    </xf>
    <xf numFmtId="184" fontId="30" fillId="23" borderId="23" xfId="2" applyNumberFormat="1" applyFont="1" applyFill="1" applyBorder="1" applyAlignment="1" applyProtection="1">
      <alignment horizontal="left" vertical="center"/>
      <protection hidden="1"/>
    </xf>
    <xf numFmtId="184" fontId="30" fillId="23" borderId="24" xfId="2" applyNumberFormat="1" applyFont="1" applyFill="1" applyBorder="1" applyAlignment="1" applyProtection="1">
      <alignment horizontal="left" vertical="center"/>
      <protection hidden="1"/>
    </xf>
    <xf numFmtId="41" fontId="25" fillId="2" borderId="52" xfId="0" applyNumberFormat="1" applyFont="1" applyFill="1" applyBorder="1" applyAlignment="1" applyProtection="1">
      <alignment horizontal="center" vertical="center"/>
      <protection hidden="1"/>
    </xf>
    <xf numFmtId="41" fontId="25" fillId="2" borderId="24" xfId="0" applyNumberFormat="1" applyFont="1" applyFill="1" applyBorder="1" applyAlignment="1" applyProtection="1">
      <alignment horizontal="center" vertical="center"/>
      <protection hidden="1"/>
    </xf>
    <xf numFmtId="0" fontId="25" fillId="25" borderId="22" xfId="0" applyFont="1" applyFill="1" applyBorder="1" applyAlignment="1" applyProtection="1">
      <alignment horizontal="center" vertical="center"/>
      <protection hidden="1"/>
    </xf>
    <xf numFmtId="0" fontId="25" fillId="25" borderId="23" xfId="0" applyFont="1" applyFill="1" applyBorder="1" applyAlignment="1" applyProtection="1">
      <alignment horizontal="center" vertical="center"/>
      <protection hidden="1"/>
    </xf>
    <xf numFmtId="0" fontId="25" fillId="25" borderId="24" xfId="0" applyFont="1" applyFill="1" applyBorder="1" applyAlignment="1" applyProtection="1">
      <alignment horizontal="center" vertical="center"/>
      <protection hidden="1"/>
    </xf>
    <xf numFmtId="0" fontId="43" fillId="0" borderId="67" xfId="0" applyFont="1" applyBorder="1" applyAlignment="1">
      <alignment horizontal="center" vertical="center" wrapText="1"/>
    </xf>
    <xf numFmtId="0" fontId="43" fillId="0" borderId="245" xfId="0" applyFont="1" applyBorder="1" applyAlignment="1">
      <alignment horizontal="center" vertical="center" wrapText="1"/>
    </xf>
    <xf numFmtId="0" fontId="43" fillId="0" borderId="86" xfId="0" applyFont="1" applyBorder="1" applyAlignment="1">
      <alignment horizontal="center" vertical="center" wrapText="1"/>
    </xf>
    <xf numFmtId="0" fontId="43" fillId="0" borderId="66" xfId="0" applyFont="1" applyBorder="1" applyAlignment="1">
      <alignment horizontal="center" vertical="center" wrapText="1"/>
    </xf>
    <xf numFmtId="0" fontId="43" fillId="0" borderId="246" xfId="0" applyFont="1" applyBorder="1" applyAlignment="1">
      <alignment horizontal="center" vertical="center" wrapText="1"/>
    </xf>
    <xf numFmtId="0" fontId="43" fillId="0" borderId="63" xfId="0" applyFont="1" applyBorder="1" applyAlignment="1">
      <alignment horizontal="center" vertical="center" wrapText="1"/>
    </xf>
    <xf numFmtId="0" fontId="43" fillId="0" borderId="247" xfId="0" applyFont="1" applyBorder="1" applyAlignment="1">
      <alignment horizontal="center" vertical="center" wrapText="1"/>
    </xf>
    <xf numFmtId="0" fontId="43" fillId="0" borderId="249" xfId="0" applyFont="1" applyBorder="1" applyAlignment="1">
      <alignment horizontal="center" vertical="center" wrapText="1"/>
    </xf>
    <xf numFmtId="0" fontId="26" fillId="11" borderId="62" xfId="0" applyFont="1" applyFill="1" applyBorder="1" applyAlignment="1" applyProtection="1">
      <alignment horizontal="center" vertical="center"/>
      <protection hidden="1"/>
    </xf>
    <xf numFmtId="0" fontId="26" fillId="11" borderId="86" xfId="0" applyFont="1" applyFill="1" applyBorder="1" applyAlignment="1" applyProtection="1">
      <alignment horizontal="center" vertical="center"/>
      <protection hidden="1"/>
    </xf>
    <xf numFmtId="0" fontId="26" fillId="11" borderId="87" xfId="0" applyFont="1" applyFill="1" applyBorder="1" applyAlignment="1" applyProtection="1">
      <alignment horizontal="center" vertical="center"/>
      <protection hidden="1"/>
    </xf>
    <xf numFmtId="0" fontId="26" fillId="11" borderId="64" xfId="0" applyFont="1" applyFill="1" applyBorder="1" applyAlignment="1" applyProtection="1">
      <alignment horizontal="center" vertical="center"/>
      <protection hidden="1"/>
    </xf>
    <xf numFmtId="0" fontId="43" fillId="0" borderId="248" xfId="0" applyFont="1" applyBorder="1" applyAlignment="1">
      <alignment horizontal="center" vertical="center" wrapText="1"/>
    </xf>
    <xf numFmtId="0" fontId="43" fillId="0" borderId="22" xfId="0" applyFont="1" applyBorder="1" applyAlignment="1">
      <alignment horizontal="center" vertical="center" wrapText="1"/>
    </xf>
    <xf numFmtId="0" fontId="43" fillId="0" borderId="209" xfId="0" applyFont="1" applyBorder="1" applyAlignment="1">
      <alignment horizontal="center" vertical="center" wrapText="1"/>
    </xf>
    <xf numFmtId="0" fontId="43" fillId="0" borderId="61" xfId="0" applyFont="1" applyBorder="1" applyAlignment="1">
      <alignment horizontal="center" vertical="center" wrapText="1"/>
    </xf>
    <xf numFmtId="0" fontId="43" fillId="0" borderId="95" xfId="0" applyFont="1" applyBorder="1" applyAlignment="1">
      <alignment horizontal="center" vertical="center" wrapText="1"/>
    </xf>
    <xf numFmtId="0" fontId="43" fillId="0" borderId="254" xfId="0" applyFont="1" applyBorder="1" applyAlignment="1">
      <alignment horizontal="center" vertical="center" wrapText="1"/>
    </xf>
    <xf numFmtId="0" fontId="43" fillId="0" borderId="106" xfId="0" applyFont="1" applyBorder="1" applyAlignment="1">
      <alignment horizontal="center" vertical="center" wrapText="1"/>
    </xf>
    <xf numFmtId="0" fontId="43" fillId="0" borderId="102" xfId="0" applyFont="1" applyBorder="1" applyAlignment="1">
      <alignment horizontal="center" vertical="center" wrapText="1"/>
    </xf>
    <xf numFmtId="0" fontId="43" fillId="0" borderId="253" xfId="0" applyFont="1" applyBorder="1" applyAlignment="1">
      <alignment horizontal="center" vertical="center" wrapText="1"/>
    </xf>
    <xf numFmtId="0" fontId="43" fillId="0" borderId="255" xfId="0" applyFont="1" applyBorder="1" applyAlignment="1">
      <alignment horizontal="center" vertical="center" wrapText="1"/>
    </xf>
    <xf numFmtId="0" fontId="43" fillId="0" borderId="250" xfId="0" applyFont="1" applyBorder="1" applyAlignment="1">
      <alignment horizontal="center" vertical="center" wrapText="1"/>
    </xf>
    <xf numFmtId="0" fontId="43" fillId="0" borderId="251" xfId="0" applyFont="1" applyBorder="1" applyAlignment="1">
      <alignment horizontal="center" vertical="center" wrapText="1"/>
    </xf>
    <xf numFmtId="0" fontId="43" fillId="0" borderId="252" xfId="0" applyFont="1" applyBorder="1" applyAlignment="1">
      <alignment horizontal="center" vertical="center" wrapText="1"/>
    </xf>
    <xf numFmtId="0" fontId="43" fillId="0" borderId="94" xfId="0" applyFont="1" applyBorder="1" applyAlignment="1">
      <alignment horizontal="center" vertical="center" wrapText="1"/>
    </xf>
    <xf numFmtId="0" fontId="43" fillId="0" borderId="82" xfId="0" applyFont="1" applyBorder="1" applyAlignment="1">
      <alignment horizontal="center" vertical="center" wrapText="1"/>
    </xf>
    <xf numFmtId="0" fontId="43" fillId="0" borderId="98" xfId="0" applyFont="1" applyBorder="1" applyAlignment="1">
      <alignment horizontal="center" vertical="center" wrapText="1"/>
    </xf>
    <xf numFmtId="0" fontId="29" fillId="0" borderId="48" xfId="0" applyFont="1" applyBorder="1" applyAlignment="1">
      <alignment horizontal="center" vertical="center"/>
    </xf>
    <xf numFmtId="0" fontId="29" fillId="0" borderId="51" xfId="0" applyFont="1" applyBorder="1" applyAlignment="1">
      <alignment horizontal="center" vertical="center"/>
    </xf>
    <xf numFmtId="0" fontId="29" fillId="0" borderId="74" xfId="0" applyFont="1" applyBorder="1" applyAlignment="1">
      <alignment horizontal="center" vertical="center"/>
    </xf>
    <xf numFmtId="0" fontId="38" fillId="0" borderId="79" xfId="0" applyFont="1" applyBorder="1" applyAlignment="1">
      <alignment horizontal="center" vertical="center"/>
    </xf>
    <xf numFmtId="0" fontId="38" fillId="0" borderId="80" xfId="0" applyFont="1" applyBorder="1" applyAlignment="1">
      <alignment horizontal="center" vertical="center"/>
    </xf>
    <xf numFmtId="0" fontId="38" fillId="0" borderId="76" xfId="0" applyFont="1" applyBorder="1" applyAlignment="1">
      <alignment horizontal="center" vertical="center"/>
    </xf>
    <xf numFmtId="0" fontId="38" fillId="0" borderId="54" xfId="0" applyFont="1" applyBorder="1" applyAlignment="1">
      <alignment horizontal="center" vertical="center"/>
    </xf>
    <xf numFmtId="0" fontId="38" fillId="0" borderId="56" xfId="0" applyFont="1" applyBorder="1" applyAlignment="1">
      <alignment horizontal="center" vertical="center"/>
    </xf>
    <xf numFmtId="0" fontId="38" fillId="0" borderId="25" xfId="0" applyFont="1"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79" fillId="11" borderId="122" xfId="0" applyFont="1" applyFill="1" applyBorder="1" applyAlignment="1">
      <alignment horizontal="center" vertical="center"/>
    </xf>
    <xf numFmtId="0" fontId="79" fillId="0" borderId="197" xfId="0" applyFont="1" applyBorder="1" applyAlignment="1">
      <alignment horizontal="center" vertical="center" wrapText="1"/>
    </xf>
    <xf numFmtId="49" fontId="79" fillId="6" borderId="122" xfId="0" applyNumberFormat="1" applyFont="1" applyFill="1" applyBorder="1" applyAlignment="1">
      <alignment horizontal="center" vertical="center"/>
    </xf>
    <xf numFmtId="49" fontId="79" fillId="5" borderId="122" xfId="0" applyNumberFormat="1" applyFont="1" applyFill="1" applyBorder="1" applyAlignment="1">
      <alignment horizontal="center" vertical="center"/>
    </xf>
    <xf numFmtId="0" fontId="52" fillId="11" borderId="0" xfId="0" applyFont="1" applyFill="1" applyAlignment="1">
      <alignment horizontal="center" vertical="center"/>
    </xf>
    <xf numFmtId="0" fontId="51" fillId="11" borderId="0" xfId="0" applyFont="1" applyFill="1" applyAlignment="1">
      <alignment horizontal="center" vertical="center"/>
    </xf>
    <xf numFmtId="0" fontId="93" fillId="11" borderId="0" xfId="0" applyFont="1" applyFill="1" applyAlignment="1">
      <alignment horizontal="center"/>
    </xf>
    <xf numFmtId="0" fontId="47" fillId="11" borderId="111" xfId="0" applyFont="1" applyFill="1" applyBorder="1" applyAlignment="1">
      <alignment horizontal="center" vertical="center"/>
    </xf>
    <xf numFmtId="0" fontId="47" fillId="11" borderId="112" xfId="0" applyFont="1" applyFill="1" applyBorder="1" applyAlignment="1">
      <alignment horizontal="center" vertical="center"/>
    </xf>
    <xf numFmtId="0" fontId="49" fillId="11" borderId="0" xfId="0" applyFont="1" applyFill="1" applyAlignment="1">
      <alignment horizontal="center" vertical="center"/>
    </xf>
    <xf numFmtId="10" fontId="50" fillId="11" borderId="113" xfId="2" applyNumberFormat="1" applyFont="1" applyFill="1" applyBorder="1" applyAlignment="1">
      <alignment horizontal="center" vertical="center"/>
    </xf>
    <xf numFmtId="10" fontId="50" fillId="11" borderId="114" xfId="2" applyNumberFormat="1" applyFont="1" applyFill="1" applyBorder="1" applyAlignment="1">
      <alignment horizontal="center" vertical="center"/>
    </xf>
    <xf numFmtId="14" fontId="51" fillId="11" borderId="0" xfId="0" applyNumberFormat="1" applyFont="1" applyFill="1" applyAlignment="1">
      <alignment horizontal="center" vertical="center"/>
    </xf>
    <xf numFmtId="14" fontId="50" fillId="11" borderId="113" xfId="2" applyNumberFormat="1" applyFont="1" applyFill="1" applyBorder="1" applyAlignment="1" applyProtection="1">
      <alignment horizontal="center" vertical="center"/>
      <protection locked="0"/>
    </xf>
    <xf numFmtId="14" fontId="50" fillId="11" borderId="114" xfId="2" applyNumberFormat="1" applyFont="1" applyFill="1" applyBorder="1" applyAlignment="1" applyProtection="1">
      <alignment horizontal="center" vertical="center"/>
      <protection locked="0"/>
    </xf>
    <xf numFmtId="0" fontId="46" fillId="11" borderId="36" xfId="5" applyFont="1" applyFill="1" applyBorder="1" applyAlignment="1">
      <alignment horizontal="center" vertical="center"/>
    </xf>
    <xf numFmtId="0" fontId="52" fillId="11" borderId="0" xfId="5" applyFont="1" applyFill="1" applyAlignment="1">
      <alignment horizontal="center" vertical="center"/>
    </xf>
    <xf numFmtId="0" fontId="47" fillId="11" borderId="0" xfId="5" applyFont="1" applyFill="1" applyAlignment="1">
      <alignment horizontal="left" vertical="center"/>
    </xf>
    <xf numFmtId="0" fontId="46" fillId="11" borderId="0" xfId="5" applyFont="1" applyFill="1" applyAlignment="1">
      <alignment horizontal="center" vertical="center"/>
    </xf>
    <xf numFmtId="0" fontId="46" fillId="11" borderId="0" xfId="5" applyFont="1" applyFill="1" applyAlignment="1">
      <alignment horizontal="left" vertical="center"/>
    </xf>
    <xf numFmtId="0" fontId="46" fillId="11" borderId="0" xfId="5" applyFont="1" applyFill="1" applyAlignment="1">
      <alignment horizontal="right" vertical="center"/>
    </xf>
    <xf numFmtId="0" fontId="47" fillId="11" borderId="0" xfId="5" applyFont="1" applyFill="1" applyAlignment="1">
      <alignment horizontal="right" vertical="center"/>
    </xf>
    <xf numFmtId="0" fontId="46" fillId="11" borderId="36" xfId="5" applyFont="1" applyFill="1" applyBorder="1" applyAlignment="1">
      <alignment horizontal="center" vertical="center" wrapText="1"/>
    </xf>
    <xf numFmtId="0" fontId="47" fillId="11" borderId="68" xfId="4" applyFont="1" applyFill="1" applyBorder="1" applyAlignment="1" applyProtection="1">
      <alignment horizontal="right" vertical="center"/>
      <protection hidden="1"/>
    </xf>
    <xf numFmtId="0" fontId="53" fillId="11" borderId="0" xfId="0" applyFont="1" applyFill="1" applyAlignment="1" applyProtection="1">
      <alignment horizontal="center" vertical="center"/>
      <protection hidden="1"/>
    </xf>
    <xf numFmtId="0" fontId="46" fillId="11" borderId="79" xfId="4" applyFont="1" applyFill="1" applyBorder="1" applyAlignment="1" applyProtection="1">
      <alignment horizontal="center" vertical="center"/>
      <protection hidden="1"/>
    </xf>
    <xf numFmtId="0" fontId="46" fillId="11" borderId="55" xfId="4" applyFont="1" applyFill="1" applyBorder="1" applyAlignment="1" applyProtection="1">
      <alignment horizontal="center" vertical="center"/>
      <protection hidden="1"/>
    </xf>
    <xf numFmtId="0" fontId="46" fillId="11" borderId="71" xfId="4" applyFont="1" applyFill="1" applyBorder="1" applyAlignment="1" applyProtection="1">
      <alignment horizontal="center" vertical="center"/>
      <protection hidden="1"/>
    </xf>
    <xf numFmtId="0" fontId="47" fillId="11" borderId="57" xfId="4" applyFont="1" applyFill="1" applyBorder="1" applyAlignment="1" applyProtection="1">
      <alignment horizontal="center" vertical="center"/>
      <protection hidden="1"/>
    </xf>
    <xf numFmtId="0" fontId="47" fillId="11" borderId="58" xfId="4" applyFont="1" applyFill="1" applyBorder="1" applyAlignment="1" applyProtection="1">
      <alignment horizontal="center" vertical="center"/>
      <protection hidden="1"/>
    </xf>
    <xf numFmtId="0" fontId="12" fillId="11" borderId="200" xfId="0" applyFont="1" applyFill="1" applyBorder="1" applyAlignment="1" applyProtection="1">
      <alignment horizontal="right" vertical="center"/>
      <protection hidden="1"/>
    </xf>
    <xf numFmtId="49" fontId="47" fillId="11" borderId="41" xfId="0" applyNumberFormat="1" applyFont="1" applyFill="1" applyBorder="1" applyAlignment="1" applyProtection="1">
      <alignment horizontal="center" vertical="center"/>
      <protection hidden="1"/>
    </xf>
    <xf numFmtId="49" fontId="47" fillId="11" borderId="198" xfId="0" applyNumberFormat="1" applyFont="1" applyFill="1" applyBorder="1" applyAlignment="1" applyProtection="1">
      <alignment horizontal="center" vertical="center"/>
      <protection hidden="1"/>
    </xf>
    <xf numFmtId="49" fontId="47" fillId="11" borderId="35" xfId="0" applyNumberFormat="1" applyFont="1" applyFill="1" applyBorder="1" applyAlignment="1" applyProtection="1">
      <alignment horizontal="center" vertical="center"/>
      <protection hidden="1"/>
    </xf>
    <xf numFmtId="0" fontId="69" fillId="11" borderId="43" xfId="0" applyFont="1" applyFill="1" applyBorder="1" applyAlignment="1" applyProtection="1">
      <alignment horizontal="center" vertical="top" wrapText="1"/>
      <protection hidden="1"/>
    </xf>
    <xf numFmtId="0" fontId="69" fillId="11" borderId="90" xfId="0" applyFont="1" applyFill="1" applyBorder="1" applyAlignment="1" applyProtection="1">
      <alignment horizontal="center" vertical="top" wrapText="1"/>
      <protection hidden="1"/>
    </xf>
    <xf numFmtId="0" fontId="69" fillId="11" borderId="29" xfId="0" applyFont="1" applyFill="1" applyBorder="1" applyAlignment="1" applyProtection="1">
      <alignment horizontal="center" vertical="top" wrapText="1"/>
      <protection hidden="1"/>
    </xf>
    <xf numFmtId="0" fontId="8" fillId="11" borderId="41" xfId="0" applyFont="1" applyFill="1" applyBorder="1" applyAlignment="1" applyProtection="1">
      <alignment horizontal="center" vertical="center" wrapText="1"/>
      <protection hidden="1"/>
    </xf>
    <xf numFmtId="0" fontId="8" fillId="11" borderId="35" xfId="0" applyFont="1" applyFill="1" applyBorder="1" applyAlignment="1" applyProtection="1">
      <alignment horizontal="center" vertical="center" wrapText="1"/>
      <protection hidden="1"/>
    </xf>
    <xf numFmtId="0" fontId="8" fillId="11" borderId="41" xfId="0" applyFont="1" applyFill="1" applyBorder="1" applyAlignment="1" applyProtection="1">
      <alignment horizontal="center" vertical="center" shrinkToFit="1"/>
      <protection hidden="1"/>
    </xf>
    <xf numFmtId="0" fontId="8" fillId="11" borderId="198" xfId="0" applyFont="1" applyFill="1" applyBorder="1" applyAlignment="1" applyProtection="1">
      <alignment horizontal="center" vertical="center" shrinkToFit="1"/>
      <protection hidden="1"/>
    </xf>
    <xf numFmtId="0" fontId="11" fillId="11" borderId="0" xfId="0" applyFont="1" applyFill="1" applyAlignment="1" applyProtection="1">
      <alignment horizontal="right" vertical="center"/>
      <protection hidden="1"/>
    </xf>
    <xf numFmtId="0" fontId="11" fillId="11" borderId="197" xfId="0" applyFont="1" applyFill="1" applyBorder="1" applyAlignment="1" applyProtection="1">
      <alignment horizontal="right" vertical="center" shrinkToFit="1"/>
      <protection hidden="1"/>
    </xf>
    <xf numFmtId="0" fontId="12" fillId="11" borderId="200" xfId="0" applyFont="1" applyFill="1" applyBorder="1" applyAlignment="1" applyProtection="1">
      <alignment horizontal="right" vertical="center" shrinkToFit="1"/>
      <protection hidden="1"/>
    </xf>
    <xf numFmtId="49" fontId="14" fillId="11" borderId="41" xfId="0" applyNumberFormat="1" applyFont="1" applyFill="1" applyBorder="1" applyAlignment="1" applyProtection="1">
      <alignment horizontal="center" vertical="center"/>
      <protection hidden="1"/>
    </xf>
    <xf numFmtId="49" fontId="14" fillId="11" borderId="198" xfId="0" applyNumberFormat="1" applyFont="1" applyFill="1" applyBorder="1" applyAlignment="1" applyProtection="1">
      <alignment horizontal="center" vertical="center"/>
      <protection hidden="1"/>
    </xf>
    <xf numFmtId="49" fontId="14" fillId="11" borderId="35" xfId="0" applyNumberFormat="1" applyFont="1" applyFill="1" applyBorder="1" applyAlignment="1" applyProtection="1">
      <alignment horizontal="center" vertical="center"/>
      <protection hidden="1"/>
    </xf>
    <xf numFmtId="0" fontId="8" fillId="11" borderId="35" xfId="0" applyFont="1" applyFill="1" applyBorder="1" applyAlignment="1" applyProtection="1">
      <alignment horizontal="center" vertical="center" shrinkToFit="1"/>
      <protection hidden="1"/>
    </xf>
    <xf numFmtId="0" fontId="69" fillId="11" borderId="41" xfId="0" applyFont="1" applyFill="1" applyBorder="1" applyAlignment="1" applyProtection="1">
      <alignment horizontal="left" vertical="center" shrinkToFit="1"/>
      <protection hidden="1"/>
    </xf>
    <xf numFmtId="0" fontId="69" fillId="11" borderId="198" xfId="0" applyFont="1" applyFill="1" applyBorder="1" applyAlignment="1" applyProtection="1">
      <alignment horizontal="left" vertical="center" shrinkToFit="1"/>
      <protection hidden="1"/>
    </xf>
    <xf numFmtId="0" fontId="0" fillId="0" borderId="79" xfId="0" applyBorder="1" applyAlignment="1">
      <alignment horizontal="center" vertical="center"/>
    </xf>
    <xf numFmtId="0" fontId="0" fillId="0" borderId="76" xfId="0" applyBorder="1" applyAlignment="1">
      <alignment horizontal="center" vertical="center"/>
    </xf>
    <xf numFmtId="0" fontId="0" fillId="11" borderId="22" xfId="0" applyFill="1" applyBorder="1" applyAlignment="1">
      <alignment horizontal="center" vertical="center"/>
    </xf>
    <xf numFmtId="0" fontId="0" fillId="11" borderId="24" xfId="0" applyFill="1" applyBorder="1" applyAlignment="1">
      <alignment horizontal="center" vertical="center"/>
    </xf>
    <xf numFmtId="0" fontId="26" fillId="11" borderId="0" xfId="0" applyFont="1" applyFill="1" applyAlignment="1">
      <alignment horizontal="center" vertical="center" shrinkToFit="1"/>
    </xf>
    <xf numFmtId="0" fontId="26" fillId="11" borderId="67" xfId="0" applyFont="1" applyFill="1" applyBorder="1" applyAlignment="1">
      <alignment horizontal="center" vertical="center"/>
    </xf>
    <xf numFmtId="0" fontId="26" fillId="11" borderId="62" xfId="0" applyFont="1" applyFill="1" applyBorder="1" applyAlignment="1">
      <alignment horizontal="center" vertical="center"/>
    </xf>
    <xf numFmtId="0" fontId="25" fillId="11" borderId="86" xfId="0" quotePrefix="1" applyFont="1" applyFill="1" applyBorder="1" applyAlignment="1">
      <alignment horizontal="center" vertical="center"/>
    </xf>
    <xf numFmtId="0" fontId="0" fillId="11" borderId="64" xfId="0" applyFill="1" applyBorder="1" applyAlignment="1">
      <alignment horizontal="center" vertical="center"/>
    </xf>
    <xf numFmtId="0" fontId="29" fillId="11" borderId="0" xfId="0" applyFont="1" applyFill="1" applyAlignment="1">
      <alignment horizontal="center" vertical="center"/>
    </xf>
    <xf numFmtId="0" fontId="26" fillId="0" borderId="96" xfId="0" applyFont="1" applyBorder="1" applyAlignment="1">
      <alignment horizontal="center" vertical="center"/>
    </xf>
    <xf numFmtId="0" fontId="26" fillId="0" borderId="97" xfId="0" applyFont="1" applyBorder="1" applyAlignment="1">
      <alignment horizontal="center" vertical="center"/>
    </xf>
    <xf numFmtId="0" fontId="41" fillId="11" borderId="67" xfId="0" applyFont="1" applyFill="1" applyBorder="1" applyAlignment="1">
      <alignment horizontal="center" vertical="center"/>
    </xf>
    <xf numFmtId="0" fontId="41" fillId="11" borderId="62" xfId="0" applyFont="1" applyFill="1" applyBorder="1" applyAlignment="1">
      <alignment horizontal="center" vertical="center"/>
    </xf>
    <xf numFmtId="0" fontId="41" fillId="11" borderId="86" xfId="0" applyFont="1" applyFill="1" applyBorder="1" applyAlignment="1">
      <alignment horizontal="center" vertical="center"/>
    </xf>
    <xf numFmtId="0" fontId="41" fillId="11" borderId="64" xfId="0" applyFont="1" applyFill="1" applyBorder="1" applyAlignment="1">
      <alignment horizontal="center" vertical="center"/>
    </xf>
    <xf numFmtId="0" fontId="35" fillId="8" borderId="67" xfId="0" applyFont="1" applyFill="1" applyBorder="1" applyAlignment="1">
      <alignment horizontal="left" vertical="center" wrapText="1"/>
    </xf>
    <xf numFmtId="0" fontId="35" fillId="8" borderId="68" xfId="0" applyFont="1" applyFill="1" applyBorder="1" applyAlignment="1">
      <alignment horizontal="left" vertical="center" wrapText="1"/>
    </xf>
    <xf numFmtId="0" fontId="35" fillId="8" borderId="62" xfId="0" applyFont="1" applyFill="1" applyBorder="1" applyAlignment="1">
      <alignment horizontal="left" vertical="center" wrapText="1"/>
    </xf>
    <xf numFmtId="0" fontId="35" fillId="8" borderId="82" xfId="0" applyFont="1" applyFill="1" applyBorder="1" applyAlignment="1">
      <alignment horizontal="left" vertical="center" wrapText="1"/>
    </xf>
    <xf numFmtId="0" fontId="35" fillId="8" borderId="0" xfId="0" applyFont="1" applyFill="1" applyAlignment="1">
      <alignment horizontal="left" vertical="center" wrapText="1"/>
    </xf>
    <xf numFmtId="0" fontId="35" fillId="8" borderId="89" xfId="0" applyFont="1" applyFill="1" applyBorder="1" applyAlignment="1">
      <alignment horizontal="left" vertical="center" wrapText="1"/>
    </xf>
    <xf numFmtId="0" fontId="35" fillId="8" borderId="86" xfId="0" applyFont="1" applyFill="1" applyBorder="1" applyAlignment="1">
      <alignment horizontal="left" vertical="center" wrapText="1"/>
    </xf>
    <xf numFmtId="0" fontId="35" fillId="8" borderId="87" xfId="0" applyFont="1" applyFill="1" applyBorder="1" applyAlignment="1">
      <alignment horizontal="left" vertical="center" wrapText="1"/>
    </xf>
    <xf numFmtId="0" fontId="35" fillId="8" borderId="64" xfId="0" applyFont="1" applyFill="1" applyBorder="1" applyAlignment="1">
      <alignment horizontal="left" vertical="center" wrapText="1"/>
    </xf>
    <xf numFmtId="0" fontId="35" fillId="11" borderId="0" xfId="0" applyFont="1" applyFill="1" applyAlignment="1">
      <alignment horizontal="left" vertical="center"/>
    </xf>
    <xf numFmtId="0" fontId="26" fillId="11" borderId="0" xfId="0" applyFont="1" applyFill="1" applyAlignment="1">
      <alignment horizontal="left" shrinkToFit="1"/>
    </xf>
    <xf numFmtId="0" fontId="25" fillId="11" borderId="0" xfId="0" applyFont="1" applyFill="1" applyAlignment="1">
      <alignment horizontal="left" vertical="center" shrinkToFit="1"/>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58" fillId="0" borderId="4" xfId="8" applyFont="1" applyBorder="1" applyAlignment="1" applyProtection="1">
      <alignment horizontal="center" vertical="center" wrapText="1"/>
      <protection hidden="1"/>
    </xf>
    <xf numFmtId="0" fontId="58" fillId="0" borderId="130" xfId="8" applyFont="1" applyBorder="1" applyAlignment="1" applyProtection="1">
      <alignment horizontal="center" vertical="center" wrapText="1"/>
      <protection hidden="1"/>
    </xf>
    <xf numFmtId="0" fontId="58" fillId="0" borderId="134" xfId="8" applyFont="1" applyBorder="1" applyAlignment="1" applyProtection="1">
      <alignment horizontal="center" vertical="center" wrapText="1"/>
      <protection hidden="1"/>
    </xf>
    <xf numFmtId="0" fontId="58" fillId="0" borderId="135" xfId="8" applyFont="1" applyBorder="1" applyAlignment="1" applyProtection="1">
      <alignment horizontal="center" vertical="center" wrapText="1"/>
      <protection hidden="1"/>
    </xf>
    <xf numFmtId="0" fontId="66" fillId="0" borderId="163" xfId="8" applyFont="1" applyBorder="1" applyAlignment="1" applyProtection="1">
      <alignment horizontal="center" vertical="center" wrapText="1"/>
      <protection hidden="1"/>
    </xf>
    <xf numFmtId="0" fontId="66" fillId="0" borderId="0" xfId="8" applyFont="1" applyAlignment="1" applyProtection="1">
      <alignment horizontal="center" vertical="center" wrapText="1"/>
      <protection hidden="1"/>
    </xf>
    <xf numFmtId="0" fontId="66" fillId="0" borderId="98" xfId="8" applyFont="1" applyBorder="1" applyAlignment="1" applyProtection="1">
      <alignment horizontal="center" vertical="center" wrapText="1"/>
      <protection hidden="1"/>
    </xf>
    <xf numFmtId="0" fontId="56" fillId="0" borderId="6" xfId="8" applyFont="1" applyBorder="1" applyAlignment="1" applyProtection="1">
      <alignment horizontal="right" vertical="center" wrapText="1"/>
      <protection hidden="1"/>
    </xf>
    <xf numFmtId="0" fontId="56" fillId="0" borderId="122" xfId="8" applyFont="1" applyBorder="1" applyAlignment="1" applyProtection="1">
      <alignment horizontal="right" vertical="center" wrapText="1"/>
      <protection hidden="1"/>
    </xf>
    <xf numFmtId="0" fontId="56" fillId="0" borderId="7" xfId="8" applyFont="1" applyBorder="1" applyAlignment="1" applyProtection="1">
      <alignment horizontal="right" vertical="center" wrapText="1"/>
      <protection hidden="1"/>
    </xf>
    <xf numFmtId="0" fontId="57" fillId="17" borderId="123" xfId="8" applyFont="1" applyFill="1" applyBorder="1" applyAlignment="1" applyProtection="1">
      <alignment horizontal="justify" vertical="center" wrapText="1"/>
      <protection hidden="1"/>
    </xf>
    <xf numFmtId="0" fontId="57" fillId="17" borderId="124" xfId="8" applyFont="1" applyFill="1" applyBorder="1" applyAlignment="1" applyProtection="1">
      <alignment horizontal="justify" vertical="center" wrapText="1"/>
      <protection hidden="1"/>
    </xf>
    <xf numFmtId="0" fontId="56" fillId="17" borderId="125" xfId="8" applyFont="1" applyFill="1" applyBorder="1" applyAlignment="1" applyProtection="1">
      <alignment horizontal="justify" vertical="center" wrapText="1"/>
      <protection hidden="1"/>
    </xf>
    <xf numFmtId="0" fontId="56" fillId="17" borderId="126" xfId="8" applyFont="1" applyFill="1" applyBorder="1" applyAlignment="1" applyProtection="1">
      <alignment horizontal="justify" vertical="center" wrapText="1"/>
      <protection hidden="1"/>
    </xf>
    <xf numFmtId="0" fontId="59" fillId="0" borderId="127" xfId="8" applyFont="1" applyBorder="1" applyAlignment="1" applyProtection="1">
      <alignment horizontal="center" vertical="center" wrapText="1"/>
      <protection hidden="1"/>
    </xf>
    <xf numFmtId="0" fontId="59" fillId="0" borderId="128" xfId="8" applyFont="1" applyBorder="1" applyAlignment="1" applyProtection="1">
      <alignment horizontal="center" vertical="center" wrapText="1"/>
      <protection hidden="1"/>
    </xf>
    <xf numFmtId="0" fontId="59" fillId="0" borderId="129" xfId="8" applyFont="1" applyBorder="1" applyAlignment="1" applyProtection="1">
      <alignment horizontal="center" vertical="center" wrapText="1"/>
      <protection hidden="1"/>
    </xf>
    <xf numFmtId="0" fontId="56" fillId="0" borderId="163" xfId="8" applyFont="1" applyBorder="1" applyAlignment="1" applyProtection="1">
      <alignment horizontal="justify" vertical="center" wrapText="1"/>
      <protection hidden="1"/>
    </xf>
    <xf numFmtId="0" fontId="56" fillId="0" borderId="0" xfId="8" applyFont="1" applyAlignment="1" applyProtection="1">
      <alignment horizontal="justify" vertical="center" wrapText="1"/>
      <protection hidden="1"/>
    </xf>
    <xf numFmtId="0" fontId="56" fillId="0" borderId="98" xfId="8" applyFont="1" applyBorder="1" applyAlignment="1" applyProtection="1">
      <alignment horizontal="justify" vertical="center" wrapText="1"/>
      <protection hidden="1"/>
    </xf>
    <xf numFmtId="0" fontId="56" fillId="0" borderId="139" xfId="8" applyFont="1" applyBorder="1" applyAlignment="1" applyProtection="1">
      <alignment horizontal="center" vertical="center" wrapText="1"/>
      <protection hidden="1"/>
    </xf>
    <xf numFmtId="0" fontId="56" fillId="0" borderId="140" xfId="8" applyFont="1" applyBorder="1" applyAlignment="1" applyProtection="1">
      <alignment horizontal="center" vertical="center" wrapText="1"/>
      <protection hidden="1"/>
    </xf>
    <xf numFmtId="0" fontId="56" fillId="0" borderId="141" xfId="8" applyFont="1" applyBorder="1" applyAlignment="1" applyProtection="1">
      <alignment horizontal="center" vertical="center" wrapText="1"/>
      <protection hidden="1"/>
    </xf>
    <xf numFmtId="0" fontId="58" fillId="0" borderId="142" xfId="8" applyFont="1" applyBorder="1" applyAlignment="1" applyProtection="1">
      <alignment horizontal="center" vertical="center" wrapText="1"/>
      <protection hidden="1"/>
    </xf>
    <xf numFmtId="0" fontId="58" fillId="0" borderId="143" xfId="8" applyFont="1" applyBorder="1" applyAlignment="1" applyProtection="1">
      <alignment horizontal="center" vertical="center" wrapText="1"/>
      <protection hidden="1"/>
    </xf>
    <xf numFmtId="0" fontId="58" fillId="11" borderId="147" xfId="8" applyFont="1" applyFill="1" applyBorder="1" applyAlignment="1" applyProtection="1">
      <alignment horizontal="center" vertical="center" wrapText="1"/>
      <protection hidden="1"/>
    </xf>
    <xf numFmtId="0" fontId="58" fillId="11" borderId="148" xfId="8" applyFont="1" applyFill="1" applyBorder="1" applyAlignment="1" applyProtection="1">
      <alignment horizontal="center" vertical="center" wrapText="1"/>
      <protection hidden="1"/>
    </xf>
    <xf numFmtId="0" fontId="56" fillId="0" borderId="149" xfId="8" applyFont="1" applyBorder="1" applyAlignment="1" applyProtection="1">
      <alignment horizontal="justify" vertical="center" wrapText="1"/>
      <protection locked="0"/>
    </xf>
    <xf numFmtId="0" fontId="56" fillId="0" borderId="150" xfId="8" applyFont="1" applyBorder="1" applyAlignment="1" applyProtection="1">
      <alignment horizontal="justify" vertical="center" wrapText="1"/>
      <protection locked="0"/>
    </xf>
    <xf numFmtId="0" fontId="56" fillId="0" borderId="151" xfId="8" applyFont="1" applyBorder="1" applyAlignment="1" applyProtection="1">
      <alignment horizontal="justify" vertical="center" wrapText="1"/>
      <protection locked="0"/>
    </xf>
    <xf numFmtId="0" fontId="56" fillId="0" borderId="153" xfId="8" applyFont="1" applyBorder="1" applyAlignment="1" applyProtection="1">
      <alignment horizontal="justify" vertical="center" wrapText="1"/>
      <protection locked="0"/>
    </xf>
    <xf numFmtId="0" fontId="56" fillId="0" borderId="122" xfId="8" applyFont="1" applyBorder="1" applyAlignment="1" applyProtection="1">
      <alignment horizontal="justify" vertical="center" wrapText="1"/>
      <protection locked="0"/>
    </xf>
    <xf numFmtId="0" fontId="56" fillId="0" borderId="7" xfId="8" applyFont="1" applyBorder="1" applyAlignment="1" applyProtection="1">
      <alignment horizontal="justify" vertical="center" wrapText="1"/>
      <protection locked="0"/>
    </xf>
    <xf numFmtId="0" fontId="58" fillId="11" borderId="6" xfId="8" applyFont="1" applyFill="1" applyBorder="1" applyAlignment="1" applyProtection="1">
      <alignment horizontal="center" vertical="center" wrapText="1"/>
      <protection hidden="1"/>
    </xf>
    <xf numFmtId="0" fontId="58" fillId="11" borderId="152" xfId="8" applyFont="1" applyFill="1" applyBorder="1" applyAlignment="1" applyProtection="1">
      <alignment horizontal="center" vertical="center" wrapText="1"/>
      <protection hidden="1"/>
    </xf>
    <xf numFmtId="0" fontId="58" fillId="11" borderId="4" xfId="8" applyFont="1" applyFill="1" applyBorder="1" applyAlignment="1" applyProtection="1">
      <alignment horizontal="center" vertical="center" wrapText="1"/>
      <protection hidden="1"/>
    </xf>
    <xf numFmtId="0" fontId="58" fillId="11" borderId="154" xfId="8" applyFont="1" applyFill="1" applyBorder="1" applyAlignment="1" applyProtection="1">
      <alignment horizontal="center" vertical="center" wrapText="1"/>
      <protection hidden="1"/>
    </xf>
    <xf numFmtId="0" fontId="56" fillId="0" borderId="155" xfId="8" applyFont="1" applyBorder="1" applyAlignment="1" applyProtection="1">
      <alignment vertical="center" wrapText="1"/>
      <protection locked="0"/>
    </xf>
    <xf numFmtId="0" fontId="56" fillId="0" borderId="121" xfId="8" applyFont="1" applyBorder="1" applyAlignment="1" applyProtection="1">
      <alignment vertical="center" wrapText="1"/>
      <protection locked="0"/>
    </xf>
    <xf numFmtId="0" fontId="56" fillId="0" borderId="5" xfId="8" applyFont="1" applyBorder="1" applyAlignment="1" applyProtection="1">
      <alignment vertical="center" wrapText="1"/>
      <protection locked="0"/>
    </xf>
    <xf numFmtId="0" fontId="56" fillId="0" borderId="157" xfId="8" applyFont="1" applyBorder="1" applyAlignment="1" applyProtection="1">
      <alignment vertical="center" wrapText="1"/>
      <protection locked="0"/>
    </xf>
    <xf numFmtId="0" fontId="56" fillId="0" borderId="158" xfId="8" applyFont="1" applyBorder="1" applyAlignment="1" applyProtection="1">
      <alignment vertical="center" wrapText="1"/>
      <protection locked="0"/>
    </xf>
    <xf numFmtId="0" fontId="56" fillId="0" borderId="159" xfId="8" applyFont="1" applyBorder="1" applyAlignment="1" applyProtection="1">
      <alignment vertical="center" wrapText="1"/>
      <protection locked="0"/>
    </xf>
    <xf numFmtId="0" fontId="61" fillId="11" borderId="134" xfId="8" applyFont="1" applyFill="1" applyBorder="1" applyAlignment="1" applyProtection="1">
      <alignment horizontal="center" vertical="center" wrapText="1"/>
      <protection hidden="1"/>
    </xf>
    <xf numFmtId="0" fontId="61" fillId="11" borderId="156" xfId="8" applyFont="1" applyFill="1" applyBorder="1" applyAlignment="1" applyProtection="1">
      <alignment horizontal="center" vertical="center" wrapText="1"/>
      <protection hidden="1"/>
    </xf>
    <xf numFmtId="0" fontId="56" fillId="0" borderId="160" xfId="8" applyFont="1" applyBorder="1" applyAlignment="1" applyProtection="1">
      <alignment horizontal="justify" vertical="center" wrapText="1"/>
      <protection hidden="1"/>
    </xf>
    <xf numFmtId="0" fontId="56" fillId="0" borderId="161" xfId="8" applyFont="1" applyBorder="1" applyAlignment="1" applyProtection="1">
      <alignment horizontal="justify" vertical="center" wrapText="1"/>
      <protection hidden="1"/>
    </xf>
    <xf numFmtId="0" fontId="56" fillId="0" borderId="162" xfId="8" applyFont="1" applyBorder="1" applyAlignment="1" applyProtection="1">
      <alignment horizontal="justify" vertical="center" wrapText="1"/>
      <protection hidden="1"/>
    </xf>
    <xf numFmtId="177" fontId="60" fillId="11" borderId="144" xfId="8" applyNumberFormat="1" applyFont="1" applyFill="1" applyBorder="1" applyAlignment="1" applyProtection="1">
      <alignment horizontal="right" vertical="center" wrapText="1"/>
      <protection hidden="1"/>
    </xf>
    <xf numFmtId="177" fontId="60" fillId="11" borderId="145" xfId="8" applyNumberFormat="1" applyFont="1" applyFill="1" applyBorder="1" applyAlignment="1" applyProtection="1">
      <alignment horizontal="right" vertical="center" wrapText="1"/>
      <protection hidden="1"/>
    </xf>
    <xf numFmtId="0" fontId="56" fillId="0" borderId="92" xfId="8" applyFont="1" applyBorder="1" applyAlignment="1" applyProtection="1">
      <alignment horizontal="right" vertical="center" wrapText="1"/>
      <protection hidden="1"/>
    </xf>
    <xf numFmtId="0" fontId="56" fillId="0" borderId="3" xfId="8" applyFont="1" applyBorder="1" applyAlignment="1" applyProtection="1">
      <alignment horizontal="right" vertical="center" wrapText="1"/>
      <protection hidden="1"/>
    </xf>
    <xf numFmtId="0" fontId="56" fillId="0" borderId="93" xfId="8" applyFont="1" applyBorder="1" applyAlignment="1" applyProtection="1">
      <alignment horizontal="right" vertical="center" wrapText="1"/>
      <protection hidden="1"/>
    </xf>
    <xf numFmtId="14" fontId="56" fillId="0" borderId="163" xfId="8" applyNumberFormat="1" applyFont="1" applyBorder="1" applyAlignment="1" applyProtection="1">
      <alignment horizontal="center" vertical="center" wrapText="1"/>
      <protection hidden="1"/>
    </xf>
    <xf numFmtId="0" fontId="56" fillId="0" borderId="0" xfId="8" applyFont="1" applyAlignment="1" applyProtection="1">
      <alignment horizontal="center" vertical="center" wrapText="1"/>
      <protection hidden="1"/>
    </xf>
    <xf numFmtId="0" fontId="56" fillId="0" borderId="98" xfId="8" applyFont="1" applyBorder="1" applyAlignment="1" applyProtection="1">
      <alignment horizontal="center" vertical="center" wrapText="1"/>
      <protection hidden="1"/>
    </xf>
    <xf numFmtId="0" fontId="56" fillId="0" borderId="163" xfId="8" applyFont="1" applyBorder="1" applyAlignment="1" applyProtection="1">
      <alignment horizontal="right" vertical="center" wrapText="1"/>
      <protection hidden="1"/>
    </xf>
    <xf numFmtId="0" fontId="56" fillId="0" borderId="0" xfId="8" applyFont="1" applyAlignment="1" applyProtection="1">
      <alignment horizontal="right" vertical="center" wrapText="1"/>
      <protection hidden="1"/>
    </xf>
    <xf numFmtId="0" fontId="63" fillId="0" borderId="164" xfId="8" applyFont="1" applyBorder="1" applyAlignment="1" applyProtection="1">
      <alignment horizontal="left" vertical="center" wrapText="1"/>
      <protection hidden="1"/>
    </xf>
    <xf numFmtId="0" fontId="63" fillId="0" borderId="165" xfId="8" applyFont="1" applyBorder="1" applyAlignment="1" applyProtection="1">
      <alignment horizontal="left" vertical="center" wrapText="1"/>
      <protection hidden="1"/>
    </xf>
    <xf numFmtId="0" fontId="63" fillId="0" borderId="166" xfId="8" applyFont="1" applyBorder="1" applyAlignment="1" applyProtection="1">
      <alignment horizontal="left" vertical="center" wrapText="1"/>
      <protection hidden="1"/>
    </xf>
    <xf numFmtId="0" fontId="56" fillId="0" borderId="167" xfId="8" applyFont="1" applyBorder="1" applyAlignment="1" applyProtection="1">
      <alignment horizontal="center" vertical="center" wrapText="1"/>
      <protection hidden="1"/>
    </xf>
    <xf numFmtId="0" fontId="56" fillId="0" borderId="168" xfId="8" applyFont="1" applyBorder="1" applyAlignment="1" applyProtection="1">
      <alignment horizontal="center" vertical="center" wrapText="1"/>
      <protection hidden="1"/>
    </xf>
    <xf numFmtId="0" fontId="56" fillId="0" borderId="169" xfId="8" applyFont="1" applyBorder="1" applyAlignment="1" applyProtection="1">
      <alignment horizontal="center" vertical="center" wrapText="1"/>
      <protection hidden="1"/>
    </xf>
    <xf numFmtId="0" fontId="61" fillId="0" borderId="170" xfId="8" applyFont="1" applyBorder="1" applyAlignment="1" applyProtection="1">
      <alignment horizontal="center" vertical="center" wrapText="1"/>
      <protection hidden="1"/>
    </xf>
    <xf numFmtId="0" fontId="61" fillId="0" borderId="175" xfId="8" applyFont="1" applyBorder="1" applyAlignment="1" applyProtection="1">
      <alignment horizontal="center" vertical="center" wrapText="1"/>
      <protection hidden="1"/>
    </xf>
    <xf numFmtId="0" fontId="61" fillId="0" borderId="171" xfId="8" applyFont="1" applyBorder="1" applyAlignment="1" applyProtection="1">
      <alignment horizontal="justify" vertical="center" wrapText="1"/>
      <protection hidden="1"/>
    </xf>
    <xf numFmtId="0" fontId="61" fillId="0" borderId="172" xfId="8" applyFont="1" applyBorder="1" applyAlignment="1" applyProtection="1">
      <alignment horizontal="justify" vertical="center" wrapText="1"/>
      <protection hidden="1"/>
    </xf>
    <xf numFmtId="0" fontId="61" fillId="0" borderId="173" xfId="8" applyFont="1" applyBorder="1" applyAlignment="1" applyProtection="1">
      <alignment horizontal="justify" vertical="center" wrapText="1"/>
      <protection hidden="1"/>
    </xf>
    <xf numFmtId="0" fontId="61" fillId="0" borderId="153" xfId="8" applyFont="1" applyBorder="1" applyAlignment="1" applyProtection="1">
      <alignment horizontal="justify" vertical="center" wrapText="1"/>
      <protection hidden="1"/>
    </xf>
    <xf numFmtId="0" fontId="61" fillId="0" borderId="122" xfId="8" applyFont="1" applyBorder="1" applyAlignment="1" applyProtection="1">
      <alignment horizontal="justify" vertical="center" wrapText="1"/>
      <protection hidden="1"/>
    </xf>
    <xf numFmtId="0" fontId="61" fillId="0" borderId="152" xfId="8" applyFont="1" applyBorder="1" applyAlignment="1" applyProtection="1">
      <alignment horizontal="justify" vertical="center" wrapText="1"/>
      <protection hidden="1"/>
    </xf>
    <xf numFmtId="0" fontId="66" fillId="8" borderId="193" xfId="8" applyFont="1" applyFill="1" applyBorder="1" applyAlignment="1" applyProtection="1">
      <alignment horizontal="center" vertical="center" wrapText="1"/>
      <protection hidden="1"/>
    </xf>
    <xf numFmtId="0" fontId="66" fillId="8" borderId="0" xfId="8" applyFont="1" applyFill="1" applyAlignment="1" applyProtection="1">
      <alignment horizontal="center" vertical="center" wrapText="1"/>
      <protection hidden="1"/>
    </xf>
    <xf numFmtId="0" fontId="66" fillId="8" borderId="194" xfId="8" applyFont="1" applyFill="1" applyBorder="1" applyAlignment="1" applyProtection="1">
      <alignment horizontal="center" vertical="center" wrapText="1"/>
      <protection hidden="1"/>
    </xf>
    <xf numFmtId="0" fontId="56" fillId="8" borderId="182" xfId="8" applyFont="1" applyFill="1" applyBorder="1" applyAlignment="1" applyProtection="1">
      <alignment horizontal="right" vertical="center" wrapText="1"/>
      <protection hidden="1"/>
    </xf>
    <xf numFmtId="0" fontId="56" fillId="8" borderId="122" xfId="8" applyFont="1" applyFill="1" applyBorder="1" applyAlignment="1" applyProtection="1">
      <alignment horizontal="right" vertical="center" wrapText="1"/>
      <protection hidden="1"/>
    </xf>
    <xf numFmtId="0" fontId="56" fillId="8" borderId="183" xfId="8" applyFont="1" applyFill="1" applyBorder="1" applyAlignment="1" applyProtection="1">
      <alignment horizontal="right" vertical="center" wrapText="1"/>
      <protection hidden="1"/>
    </xf>
    <xf numFmtId="0" fontId="56" fillId="17" borderId="185" xfId="8" applyFont="1" applyFill="1" applyBorder="1" applyAlignment="1" applyProtection="1">
      <alignment horizontal="justify" vertical="center" wrapText="1"/>
      <protection hidden="1"/>
    </xf>
    <xf numFmtId="0" fontId="59" fillId="0" borderId="186" xfId="8" applyFont="1" applyBorder="1" applyAlignment="1" applyProtection="1">
      <alignment horizontal="center" vertical="center" wrapText="1"/>
      <protection hidden="1"/>
    </xf>
    <xf numFmtId="0" fontId="59" fillId="0" borderId="187" xfId="8" applyFont="1" applyBorder="1" applyAlignment="1" applyProtection="1">
      <alignment horizontal="center" vertical="center" wrapText="1"/>
      <protection hidden="1"/>
    </xf>
    <xf numFmtId="0" fontId="58" fillId="0" borderId="181" xfId="8" applyFont="1" applyBorder="1" applyAlignment="1" applyProtection="1">
      <alignment horizontal="center" vertical="center" wrapText="1"/>
      <protection hidden="1"/>
    </xf>
    <xf numFmtId="0" fontId="58" fillId="0" borderId="189" xfId="8" applyFont="1" applyBorder="1" applyAlignment="1" applyProtection="1">
      <alignment horizontal="center" vertical="center" wrapText="1"/>
      <protection hidden="1"/>
    </xf>
    <xf numFmtId="0" fontId="56" fillId="8" borderId="193" xfId="8" applyFont="1" applyFill="1" applyBorder="1" applyAlignment="1" applyProtection="1">
      <alignment horizontal="right" vertical="center" wrapText="1"/>
      <protection hidden="1"/>
    </xf>
    <xf numFmtId="0" fontId="56" fillId="8" borderId="0" xfId="8" applyFont="1" applyFill="1" applyAlignment="1" applyProtection="1">
      <alignment horizontal="right" vertical="center" wrapText="1"/>
      <protection hidden="1"/>
    </xf>
    <xf numFmtId="0" fontId="56" fillId="8" borderId="0" xfId="8" applyFont="1" applyFill="1" applyAlignment="1" applyProtection="1">
      <alignment horizontal="center" vertical="center" wrapText="1"/>
      <protection hidden="1"/>
    </xf>
    <xf numFmtId="0" fontId="60" fillId="8" borderId="195" xfId="8" applyFont="1" applyFill="1" applyBorder="1" applyAlignment="1" applyProtection="1">
      <alignment horizontal="center" wrapText="1"/>
      <protection hidden="1"/>
    </xf>
    <xf numFmtId="0" fontId="60" fillId="8" borderId="165" xfId="8" applyFont="1" applyFill="1" applyBorder="1" applyAlignment="1" applyProtection="1">
      <alignment horizontal="center" wrapText="1"/>
      <protection hidden="1"/>
    </xf>
    <xf numFmtId="0" fontId="60" fillId="8" borderId="196" xfId="8" applyFont="1" applyFill="1" applyBorder="1" applyAlignment="1" applyProtection="1">
      <alignment horizontal="center" wrapText="1"/>
      <protection hidden="1"/>
    </xf>
    <xf numFmtId="0" fontId="56" fillId="8" borderId="193" xfId="8" applyFont="1" applyFill="1" applyBorder="1" applyAlignment="1" applyProtection="1">
      <alignment horizontal="justify" vertical="center" wrapText="1"/>
      <protection hidden="1"/>
    </xf>
    <xf numFmtId="0" fontId="56" fillId="8" borderId="0" xfId="8" applyFont="1" applyFill="1" applyAlignment="1" applyProtection="1">
      <alignment horizontal="justify" vertical="center" wrapText="1"/>
      <protection hidden="1"/>
    </xf>
    <xf numFmtId="0" fontId="56" fillId="8" borderId="194" xfId="8" applyFont="1" applyFill="1" applyBorder="1" applyAlignment="1" applyProtection="1">
      <alignment horizontal="justify" vertical="center" wrapText="1"/>
      <protection hidden="1"/>
    </xf>
    <xf numFmtId="0" fontId="56" fillId="8" borderId="191" xfId="8" applyFont="1" applyFill="1" applyBorder="1" applyAlignment="1" applyProtection="1">
      <alignment horizontal="center" vertical="center" wrapText="1"/>
      <protection hidden="1"/>
    </xf>
    <xf numFmtId="0" fontId="56" fillId="8" borderId="161" xfId="8" applyFont="1" applyFill="1" applyBorder="1" applyAlignment="1" applyProtection="1">
      <alignment horizontal="center" vertical="center" wrapText="1"/>
      <protection hidden="1"/>
    </xf>
    <xf numFmtId="0" fontId="56" fillId="8" borderId="192" xfId="8" applyFont="1" applyFill="1" applyBorder="1" applyAlignment="1" applyProtection="1">
      <alignment horizontal="center" vertical="center" wrapText="1"/>
      <protection hidden="1"/>
    </xf>
    <xf numFmtId="177" fontId="60" fillId="8" borderId="0" xfId="8" applyNumberFormat="1" applyFont="1" applyFill="1" applyAlignment="1" applyProtection="1">
      <alignment horizontal="left" vertical="center" wrapText="1"/>
      <protection hidden="1"/>
    </xf>
    <xf numFmtId="177" fontId="60" fillId="8" borderId="194" xfId="8" applyNumberFormat="1" applyFont="1" applyFill="1" applyBorder="1" applyAlignment="1" applyProtection="1">
      <alignment horizontal="left" vertical="center" wrapText="1"/>
      <protection hidden="1"/>
    </xf>
    <xf numFmtId="0" fontId="60" fillId="8" borderId="193" xfId="8" applyFont="1" applyFill="1" applyBorder="1" applyAlignment="1" applyProtection="1">
      <alignment vertical="center" wrapText="1"/>
      <protection locked="0"/>
    </xf>
    <xf numFmtId="0" fontId="60" fillId="8" borderId="0" xfId="8" applyFont="1" applyFill="1" applyAlignment="1" applyProtection="1">
      <alignment vertical="center" wrapText="1"/>
      <protection locked="0"/>
    </xf>
    <xf numFmtId="0" fontId="60" fillId="8" borderId="194" xfId="8" applyFont="1" applyFill="1" applyBorder="1" applyAlignment="1" applyProtection="1">
      <alignment vertical="center" wrapText="1"/>
      <protection locked="0"/>
    </xf>
    <xf numFmtId="14" fontId="65" fillId="8" borderId="193" xfId="8" applyNumberFormat="1" applyFont="1" applyFill="1" applyBorder="1" applyAlignment="1" applyProtection="1">
      <alignment horizontal="center" vertical="center" wrapText="1"/>
      <protection hidden="1"/>
    </xf>
    <xf numFmtId="14" fontId="65" fillId="8" borderId="0" xfId="8" applyNumberFormat="1" applyFont="1" applyFill="1" applyAlignment="1" applyProtection="1">
      <alignment horizontal="center" vertical="center" wrapText="1"/>
      <protection hidden="1"/>
    </xf>
    <xf numFmtId="0" fontId="65" fillId="8" borderId="0" xfId="8" applyFont="1" applyFill="1" applyAlignment="1" applyProtection="1">
      <alignment horizontal="center" vertical="center" wrapText="1"/>
      <protection hidden="1"/>
    </xf>
    <xf numFmtId="0" fontId="65" fillId="8" borderId="194" xfId="8" applyFont="1" applyFill="1" applyBorder="1" applyAlignment="1" applyProtection="1">
      <alignment horizontal="center" vertical="center" wrapText="1"/>
      <protection hidden="1"/>
    </xf>
  </cellXfs>
  <cellStyles count="10">
    <cellStyle name="백분율" xfId="2" builtinId="5"/>
    <cellStyle name="쉼표 [0]" xfId="1" builtinId="6"/>
    <cellStyle name="쉼표 [0] 2" xfId="9" xr:uid="{8EE50EEC-E3B2-429A-B63B-D9969F4271FE}"/>
    <cellStyle name="쉼표 [0] 6" xfId="6" xr:uid="{0663C564-42F3-466C-966C-D1B889390FF0}"/>
    <cellStyle name="표준" xfId="0" builtinId="0"/>
    <cellStyle name="표준 2" xfId="3" xr:uid="{5AE707A6-02E2-4B16-80D3-17D9DEB6753A}"/>
    <cellStyle name="표준 3" xfId="8" xr:uid="{1886F56C-5753-4835-BB87-E78654687325}"/>
    <cellStyle name="표준_2007예산(요)" xfId="4" xr:uid="{3494D2D8-DB55-4203-BAE8-941649A7B93D}"/>
    <cellStyle name="표준_복사본 예산총괄-치매" xfId="7" xr:uid="{033E9A6E-49AF-469D-ADF4-AC5489421762}"/>
    <cellStyle name="표준_예산총칙양식" xfId="5" xr:uid="{6BBC40E2-90ED-4959-9620-E4268BAE1F12}"/>
  </cellStyles>
  <dxfs count="143">
    <dxf>
      <font>
        <b val="0"/>
        <i val="0"/>
      </font>
      <fill>
        <patternFill>
          <bgColor rgb="FF92D050"/>
        </patternFill>
      </fill>
    </dxf>
    <dxf>
      <font>
        <b val="0"/>
        <i val="0"/>
        <color theme="0"/>
      </font>
      <fill>
        <patternFill>
          <bgColor rgb="FFC00000"/>
        </patternFill>
      </fill>
    </dxf>
    <dxf>
      <font>
        <b/>
        <i val="0"/>
      </font>
      <fill>
        <patternFill>
          <bgColor rgb="FF92D050"/>
        </patternFill>
      </fill>
    </dxf>
    <dxf>
      <font>
        <b/>
        <i val="0"/>
        <color theme="0"/>
      </font>
      <fill>
        <patternFill>
          <bgColor rgb="FFC00000"/>
        </patternFill>
      </fill>
    </dxf>
    <dxf>
      <font>
        <b val="0"/>
        <i val="0"/>
        <strike val="0"/>
        <color theme="1"/>
      </font>
      <fill>
        <patternFill>
          <bgColor theme="9"/>
        </patternFill>
      </fill>
    </dxf>
    <dxf>
      <font>
        <b val="0"/>
        <i val="0"/>
        <strike val="0"/>
        <color theme="0"/>
      </font>
      <fill>
        <patternFill>
          <bgColor rgb="FFC00000"/>
        </patternFill>
      </fill>
    </dxf>
    <dxf>
      <font>
        <b val="0"/>
        <i val="0"/>
      </font>
      <fill>
        <patternFill>
          <bgColor rgb="FF92D050"/>
        </patternFill>
      </fill>
    </dxf>
    <dxf>
      <font>
        <b val="0"/>
        <i val="0"/>
        <color theme="0"/>
      </font>
      <fill>
        <patternFill>
          <bgColor rgb="FFC00000"/>
        </patternFill>
      </fill>
    </dxf>
    <dxf>
      <font>
        <b val="0"/>
        <i val="0"/>
      </font>
      <fill>
        <patternFill>
          <bgColor rgb="FF92D050"/>
        </patternFill>
      </fill>
    </dxf>
    <dxf>
      <font>
        <b val="0"/>
        <i val="0"/>
        <color theme="0"/>
      </font>
      <fill>
        <patternFill>
          <bgColor rgb="FFC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font>
      <fill>
        <patternFill>
          <bgColor theme="9" tint="0.79998168889431442"/>
        </patternFill>
      </fill>
    </dxf>
    <dxf>
      <font>
        <b val="0"/>
        <i val="0"/>
      </font>
      <fill>
        <patternFill>
          <bgColor theme="9" tint="0.79998168889431442"/>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color rgb="FFC00000"/>
      </font>
      <fill>
        <patternFill>
          <bgColor rgb="FFC00000"/>
        </patternFill>
      </fill>
    </dxf>
    <dxf>
      <font>
        <color rgb="FFC00000"/>
      </font>
      <fill>
        <patternFill>
          <bgColor rgb="FFC00000"/>
        </patternFill>
      </fill>
    </dxf>
    <dxf>
      <font>
        <color rgb="FFC00000"/>
      </font>
      <fill>
        <patternFill>
          <bgColor rgb="FFC00000"/>
        </patternFill>
      </fill>
    </dxf>
    <dxf>
      <font>
        <color rgb="FFC00000"/>
      </font>
      <fill>
        <patternFill>
          <bgColor rgb="FFC00000"/>
        </patternFill>
      </fill>
    </dxf>
    <dxf>
      <font>
        <color rgb="FFC00000"/>
      </font>
      <fill>
        <patternFill>
          <bgColor rgb="FFC00000"/>
        </patternFill>
      </fill>
    </dxf>
    <dxf>
      <font>
        <color rgb="FFC00000"/>
      </font>
      <fill>
        <patternFill>
          <bgColor rgb="FFC00000"/>
        </patternFill>
      </fill>
    </dxf>
    <dxf>
      <font>
        <color rgb="FFC00000"/>
      </font>
      <fill>
        <patternFill>
          <bgColor rgb="FFC00000"/>
        </patternFill>
      </fill>
    </dxf>
    <dxf>
      <font>
        <color rgb="FFC00000"/>
      </font>
      <fill>
        <patternFill>
          <bgColor rgb="FFC00000"/>
        </patternFill>
      </fill>
    </dxf>
    <dxf>
      <font>
        <color rgb="FFC00000"/>
      </font>
      <fill>
        <patternFill>
          <bgColor rgb="FFC00000"/>
        </patternFill>
      </fill>
    </dxf>
    <dxf>
      <font>
        <color rgb="FFC00000"/>
      </font>
      <fill>
        <patternFill>
          <bgColor rgb="FFC00000"/>
        </patternFill>
      </fill>
    </dxf>
    <dxf>
      <font>
        <b/>
        <i val="0"/>
        <color theme="1"/>
      </font>
      <fill>
        <patternFill>
          <bgColor theme="4" tint="0.59996337778862885"/>
        </patternFill>
      </fill>
    </dxf>
    <dxf>
      <font>
        <b/>
        <i val="0"/>
        <color theme="0"/>
      </font>
      <fill>
        <patternFill>
          <bgColor rgb="FFC00000"/>
        </patternFill>
      </fill>
    </dxf>
    <dxf>
      <font>
        <b/>
        <i val="0"/>
        <color theme="0"/>
      </font>
      <fill>
        <patternFill>
          <bgColor rgb="FFC00000"/>
        </patternFill>
      </fill>
    </dxf>
    <dxf>
      <font>
        <b/>
        <i val="0"/>
        <color theme="1"/>
      </font>
      <fill>
        <patternFill>
          <bgColor theme="4" tint="0.59996337778862885"/>
        </patternFill>
      </fill>
    </dxf>
    <dxf>
      <font>
        <color theme="5" tint="0.79998168889431442"/>
      </font>
      <fill>
        <patternFill>
          <bgColor rgb="FFFFC7CE"/>
        </patternFill>
      </fill>
    </dxf>
    <dxf>
      <font>
        <color theme="9" tint="0.79998168889431442"/>
      </font>
      <fill>
        <patternFill>
          <bgColor rgb="FFC6EFCE"/>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color rgb="FFC00000"/>
      </font>
      <fill>
        <patternFill>
          <bgColor rgb="FFC0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font>
      <fill>
        <patternFill>
          <bgColor theme="8" tint="0.39994506668294322"/>
        </patternFill>
      </fill>
    </dxf>
    <dxf>
      <font>
        <b/>
        <i val="0"/>
        <color theme="0"/>
      </font>
      <fill>
        <patternFill>
          <bgColor rgb="FFC00000"/>
        </patternFill>
      </fill>
    </dxf>
    <dxf>
      <font>
        <b/>
        <i val="0"/>
        <color theme="0"/>
      </font>
      <fill>
        <patternFill>
          <bgColor theme="9"/>
        </patternFill>
      </fill>
    </dxf>
    <dxf>
      <font>
        <b/>
        <i val="0"/>
        <color theme="0"/>
      </font>
      <fill>
        <patternFill>
          <bgColor theme="9"/>
        </patternFill>
      </fill>
    </dxf>
    <dxf>
      <font>
        <b/>
        <i val="0"/>
        <color theme="0"/>
      </font>
      <fill>
        <patternFill>
          <bgColor rgb="FFC00000"/>
        </patternFill>
      </fill>
    </dxf>
    <dxf>
      <font>
        <b/>
        <i val="0"/>
        <color theme="0"/>
      </font>
      <fill>
        <patternFill>
          <bgColor rgb="FFCC0000"/>
        </patternFill>
      </fill>
    </dxf>
    <dxf>
      <font>
        <b/>
        <i val="0"/>
      </font>
      <fill>
        <patternFill>
          <bgColor theme="8" tint="0.39994506668294322"/>
        </patternFill>
      </fill>
    </dxf>
    <dxf>
      <font>
        <b/>
        <i val="0"/>
        <color theme="0"/>
      </font>
      <fill>
        <patternFill>
          <bgColor rgb="FFCC0000"/>
        </patternFill>
      </fill>
    </dxf>
    <dxf>
      <font>
        <b/>
        <i val="0"/>
      </font>
      <fill>
        <patternFill>
          <bgColor theme="8" tint="0.39994506668294322"/>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font>
      <fill>
        <patternFill>
          <bgColor theme="8" tint="0.39994506668294322"/>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font>
      <fill>
        <patternFill>
          <bgColor theme="8" tint="0.39994506668294322"/>
        </patternFill>
      </fill>
    </dxf>
    <dxf>
      <font>
        <b/>
        <i val="0"/>
        <color theme="0"/>
      </font>
      <fill>
        <patternFill>
          <bgColor rgb="FFCC0000"/>
        </patternFill>
      </fill>
    </dxf>
    <dxf>
      <font>
        <b/>
        <i val="0"/>
      </font>
      <fill>
        <patternFill>
          <bgColor theme="8" tint="0.39994506668294322"/>
        </patternFill>
      </fill>
    </dxf>
    <dxf>
      <font>
        <b/>
        <i val="0"/>
        <color theme="0"/>
      </font>
      <fill>
        <patternFill>
          <bgColor rgb="FFCC0000"/>
        </patternFill>
      </fill>
    </dxf>
    <dxf>
      <font>
        <color rgb="FF006100"/>
      </font>
      <fill>
        <patternFill>
          <bgColor rgb="FFC6EFCE"/>
        </patternFill>
      </fill>
    </dxf>
    <dxf>
      <font>
        <color rgb="FF9C0006"/>
      </font>
      <fill>
        <patternFill>
          <bgColor rgb="FFFFC7CE"/>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b/>
        <i val="0"/>
        <color theme="0"/>
      </font>
      <fill>
        <patternFill>
          <bgColor rgb="FFCC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AB$5" lockText="1" noThreeD="1"/>
</file>

<file path=xl/ctrlProps/ctrlProp10.xml><?xml version="1.0" encoding="utf-8"?>
<formControlPr xmlns="http://schemas.microsoft.com/office/spreadsheetml/2009/9/main" objectType="CheckBox" fmlaLink="$AF$2" lockText="1" noThreeD="1"/>
</file>

<file path=xl/ctrlProps/ctrlProp11.xml><?xml version="1.0" encoding="utf-8"?>
<formControlPr xmlns="http://schemas.microsoft.com/office/spreadsheetml/2009/9/main" objectType="CheckBox" fmlaLink="$AM$2" lockText="1" noThreeD="1"/>
</file>

<file path=xl/ctrlProps/ctrlProp12.xml><?xml version="1.0" encoding="utf-8"?>
<formControlPr xmlns="http://schemas.microsoft.com/office/spreadsheetml/2009/9/main" objectType="CheckBox" checked="Checked" fmlaLink="$AM$1" lockText="1" noThreeD="1"/>
</file>

<file path=xl/ctrlProps/ctrlProp13.xml><?xml version="1.0" encoding="utf-8"?>
<formControlPr xmlns="http://schemas.microsoft.com/office/spreadsheetml/2009/9/main" objectType="CheckBox" fmlaLink="$AH$5" lockText="1" noThreeD="1"/>
</file>

<file path=xl/ctrlProps/ctrlProp14.xml><?xml version="1.0" encoding="utf-8"?>
<formControlPr xmlns="http://schemas.microsoft.com/office/spreadsheetml/2009/9/main" objectType="CheckBox" fmlaLink="$I$2" lockText="1" noThreeD="1"/>
</file>

<file path=xl/ctrlProps/ctrlProp15.xml><?xml version="1.0" encoding="utf-8"?>
<formControlPr xmlns="http://schemas.microsoft.com/office/spreadsheetml/2009/9/main" objectType="CheckBox" checked="Checked" fmlaLink="$I$3" lockText="1" noThreeD="1"/>
</file>

<file path=xl/ctrlProps/ctrlProp16.xml><?xml version="1.0" encoding="utf-8"?>
<formControlPr xmlns="http://schemas.microsoft.com/office/spreadsheetml/2009/9/main" objectType="CheckBox" fmlaLink="$I$4" lockText="1" noThreeD="1"/>
</file>

<file path=xl/ctrlProps/ctrlProp2.xml><?xml version="1.0" encoding="utf-8"?>
<formControlPr xmlns="http://schemas.microsoft.com/office/spreadsheetml/2009/9/main" objectType="CheckBox" fmlaLink="$AC$5" lockText="1" noThreeD="1"/>
</file>

<file path=xl/ctrlProps/ctrlProp3.xml><?xml version="1.0" encoding="utf-8"?>
<formControlPr xmlns="http://schemas.microsoft.com/office/spreadsheetml/2009/9/main" objectType="CheckBox" fmlaLink="$AD$5" lockText="1" noThreeD="1"/>
</file>

<file path=xl/ctrlProps/ctrlProp4.xml><?xml version="1.0" encoding="utf-8"?>
<formControlPr xmlns="http://schemas.microsoft.com/office/spreadsheetml/2009/9/main" objectType="CheckBox" fmlaLink="$AE$5" lockText="1" noThreeD="1"/>
</file>

<file path=xl/ctrlProps/ctrlProp5.xml><?xml version="1.0" encoding="utf-8"?>
<formControlPr xmlns="http://schemas.microsoft.com/office/spreadsheetml/2009/9/main" objectType="CheckBox" fmlaLink="$Y$5" lockText="1" noThreeD="1"/>
</file>

<file path=xl/ctrlProps/ctrlProp6.xml><?xml version="1.0" encoding="utf-8"?>
<formControlPr xmlns="http://schemas.microsoft.com/office/spreadsheetml/2009/9/main" objectType="CheckBox" fmlaLink="$Z$5" lockText="1" noThreeD="1"/>
</file>

<file path=xl/ctrlProps/ctrlProp7.xml><?xml version="1.0" encoding="utf-8"?>
<formControlPr xmlns="http://schemas.microsoft.com/office/spreadsheetml/2009/9/main" objectType="CheckBox" fmlaLink="$AA$5" lockText="1" noThreeD="1"/>
</file>

<file path=xl/ctrlProps/ctrlProp8.xml><?xml version="1.0" encoding="utf-8"?>
<formControlPr xmlns="http://schemas.microsoft.com/office/spreadsheetml/2009/9/main" objectType="CheckBox" checked="Checked" fmlaLink="$X$5" lockText="1" noThreeD="1"/>
</file>

<file path=xl/ctrlProps/ctrlProp9.xml><?xml version="1.0" encoding="utf-8"?>
<formControlPr xmlns="http://schemas.microsoft.com/office/spreadsheetml/2009/9/main" objectType="CheckBox" fmlaLink="$AF$5"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400050</xdr:colOff>
          <xdr:row>4</xdr:row>
          <xdr:rowOff>9525</xdr:rowOff>
        </xdr:from>
        <xdr:to>
          <xdr:col>27</xdr:col>
          <xdr:colOff>990600</xdr:colOff>
          <xdr:row>4</xdr:row>
          <xdr:rowOff>200025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4</xdr:row>
          <xdr:rowOff>9525</xdr:rowOff>
        </xdr:from>
        <xdr:to>
          <xdr:col>28</xdr:col>
          <xdr:colOff>990600</xdr:colOff>
          <xdr:row>4</xdr:row>
          <xdr:rowOff>200025</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400050</xdr:colOff>
          <xdr:row>4</xdr:row>
          <xdr:rowOff>9525</xdr:rowOff>
        </xdr:from>
        <xdr:to>
          <xdr:col>30</xdr:col>
          <xdr:colOff>19050</xdr:colOff>
          <xdr:row>4</xdr:row>
          <xdr:rowOff>200025</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400050</xdr:colOff>
          <xdr:row>4</xdr:row>
          <xdr:rowOff>9525</xdr:rowOff>
        </xdr:from>
        <xdr:to>
          <xdr:col>31</xdr:col>
          <xdr:colOff>19050</xdr:colOff>
          <xdr:row>4</xdr:row>
          <xdr:rowOff>200025</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400050</xdr:colOff>
          <xdr:row>4</xdr:row>
          <xdr:rowOff>9525</xdr:rowOff>
        </xdr:from>
        <xdr:to>
          <xdr:col>24</xdr:col>
          <xdr:colOff>990600</xdr:colOff>
          <xdr:row>4</xdr:row>
          <xdr:rowOff>209550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0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400050</xdr:colOff>
          <xdr:row>4</xdr:row>
          <xdr:rowOff>9525</xdr:rowOff>
        </xdr:from>
        <xdr:to>
          <xdr:col>25</xdr:col>
          <xdr:colOff>990600</xdr:colOff>
          <xdr:row>4</xdr:row>
          <xdr:rowOff>209550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4</xdr:row>
          <xdr:rowOff>9525</xdr:rowOff>
        </xdr:from>
        <xdr:to>
          <xdr:col>26</xdr:col>
          <xdr:colOff>990600</xdr:colOff>
          <xdr:row>4</xdr:row>
          <xdr:rowOff>209550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476250</xdr:colOff>
          <xdr:row>4</xdr:row>
          <xdr:rowOff>9525</xdr:rowOff>
        </xdr:from>
        <xdr:to>
          <xdr:col>23</xdr:col>
          <xdr:colOff>1066800</xdr:colOff>
          <xdr:row>4</xdr:row>
          <xdr:rowOff>209550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400050</xdr:colOff>
          <xdr:row>4</xdr:row>
          <xdr:rowOff>9525</xdr:rowOff>
        </xdr:from>
        <xdr:to>
          <xdr:col>32</xdr:col>
          <xdr:colOff>19050</xdr:colOff>
          <xdr:row>4</xdr:row>
          <xdr:rowOff>209550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390525</xdr:colOff>
          <xdr:row>0</xdr:row>
          <xdr:rowOff>209550</xdr:rowOff>
        </xdr:from>
        <xdr:to>
          <xdr:col>31</xdr:col>
          <xdr:colOff>695325</xdr:colOff>
          <xdr:row>1</xdr:row>
          <xdr:rowOff>209550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0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352425</xdr:colOff>
          <xdr:row>1</xdr:row>
          <xdr:rowOff>0</xdr:rowOff>
        </xdr:from>
        <xdr:to>
          <xdr:col>38</xdr:col>
          <xdr:colOff>657225</xdr:colOff>
          <xdr:row>2</xdr:row>
          <xdr:rowOff>0</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0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352425</xdr:colOff>
          <xdr:row>0</xdr:row>
          <xdr:rowOff>0</xdr:rowOff>
        </xdr:from>
        <xdr:to>
          <xdr:col>38</xdr:col>
          <xdr:colOff>657225</xdr:colOff>
          <xdr:row>1</xdr:row>
          <xdr:rowOff>0</xdr:rowOff>
        </xdr:to>
        <xdr:sp macro="" textlink="">
          <xdr:nvSpPr>
            <xdr:cNvPr id="3307" name="Check Box 235" hidden="1">
              <a:extLst>
                <a:ext uri="{63B3BB69-23CF-44E3-9099-C40C66FF867C}">
                  <a14:compatExt spid="_x0000_s3307"/>
                </a:ext>
                <a:ext uri="{FF2B5EF4-FFF2-40B4-BE49-F238E27FC236}">
                  <a16:creationId xmlns:a16="http://schemas.microsoft.com/office/drawing/2014/main" id="{00000000-0008-0000-00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352425</xdr:colOff>
          <xdr:row>4</xdr:row>
          <xdr:rowOff>9525</xdr:rowOff>
        </xdr:from>
        <xdr:to>
          <xdr:col>34</xdr:col>
          <xdr:colOff>47625</xdr:colOff>
          <xdr:row>4</xdr:row>
          <xdr:rowOff>209550</xdr:rowOff>
        </xdr:to>
        <xdr:sp macro="" textlink="">
          <xdr:nvSpPr>
            <xdr:cNvPr id="3317" name="Check Box 245" hidden="1">
              <a:extLst>
                <a:ext uri="{63B3BB69-23CF-44E3-9099-C40C66FF867C}">
                  <a14:compatExt spid="_x0000_s3317"/>
                </a:ext>
                <a:ext uri="{FF2B5EF4-FFF2-40B4-BE49-F238E27FC236}">
                  <a16:creationId xmlns:a16="http://schemas.microsoft.com/office/drawing/2014/main" id="{00000000-0008-0000-00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390525</xdr:colOff>
          <xdr:row>0</xdr:row>
          <xdr:rowOff>209550</xdr:rowOff>
        </xdr:from>
        <xdr:to>
          <xdr:col>8</xdr:col>
          <xdr:colOff>695325</xdr:colOff>
          <xdr:row>1</xdr:row>
          <xdr:rowOff>209550</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1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238125</xdr:colOff>
          <xdr:row>1</xdr:row>
          <xdr:rowOff>209550</xdr:rowOff>
        </xdr:from>
        <xdr:to>
          <xdr:col>8</xdr:col>
          <xdr:colOff>542925</xdr:colOff>
          <xdr:row>3</xdr:row>
          <xdr:rowOff>19050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C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xdr:row>
          <xdr:rowOff>190500</xdr:rowOff>
        </xdr:from>
        <xdr:to>
          <xdr:col>8</xdr:col>
          <xdr:colOff>542925</xdr:colOff>
          <xdr:row>4</xdr:row>
          <xdr:rowOff>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C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5</xdr:col>
      <xdr:colOff>123825</xdr:colOff>
      <xdr:row>16</xdr:row>
      <xdr:rowOff>390525</xdr:rowOff>
    </xdr:from>
    <xdr:ext cx="600159" cy="600159"/>
    <xdr:pic>
      <xdr:nvPicPr>
        <xdr:cNvPr id="2" name="그림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5" y="7553325"/>
          <a:ext cx="600159" cy="60015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5</xdr:col>
      <xdr:colOff>123825</xdr:colOff>
      <xdr:row>21</xdr:row>
      <xdr:rowOff>76761</xdr:rowOff>
    </xdr:from>
    <xdr:ext cx="600159" cy="600159"/>
    <xdr:pic>
      <xdr:nvPicPr>
        <xdr:cNvPr id="2" name="그림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87913" y="9915526"/>
          <a:ext cx="600159" cy="60015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5</xdr:col>
      <xdr:colOff>123825</xdr:colOff>
      <xdr:row>21</xdr:row>
      <xdr:rowOff>76761</xdr:rowOff>
    </xdr:from>
    <xdr:ext cx="600159" cy="600159"/>
    <xdr:pic>
      <xdr:nvPicPr>
        <xdr:cNvPr id="2" name="그림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00800" y="9916086"/>
          <a:ext cx="600159" cy="600159"/>
        </a:xfrm>
        <a:prstGeom prst="rect">
          <a:avLst/>
        </a:prstGeom>
      </xdr:spPr>
    </xdr:pic>
    <xdr:clientData/>
  </xdr:one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11.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32D8D-2BCE-4E81-99C9-3D0FEA1532E6}">
  <sheetPr>
    <tabColor rgb="FFFFC000"/>
  </sheetPr>
  <dimension ref="A1:BR264"/>
  <sheetViews>
    <sheetView topLeftCell="O1" zoomScaleNormal="100" workbookViewId="0">
      <selection activeCell="AE65" sqref="AE65"/>
    </sheetView>
  </sheetViews>
  <sheetFormatPr defaultRowHeight="16.5"/>
  <cols>
    <col min="1" max="1" width="5.875" style="161" customWidth="1"/>
    <col min="2" max="2" width="28.25" style="451" customWidth="1"/>
    <col min="3" max="3" width="28.25" style="451" hidden="1" customWidth="1"/>
    <col min="4" max="4" width="8.75" style="161" customWidth="1"/>
    <col min="5" max="5" width="4.625" style="161" customWidth="1"/>
    <col min="6" max="6" width="9.375" style="161" customWidth="1"/>
    <col min="7" max="11" width="10" style="161" customWidth="1"/>
    <col min="12" max="12" width="13.375" style="161" customWidth="1"/>
    <col min="13" max="13" width="2.375" style="597" hidden="1" customWidth="1"/>
    <col min="14" max="14" width="1.875" style="161" hidden="1" customWidth="1"/>
    <col min="15" max="15" width="11.5" style="455" customWidth="1"/>
    <col min="16" max="16" width="12.375" style="158" hidden="1" customWidth="1"/>
    <col min="17" max="17" width="6" style="158" customWidth="1"/>
    <col min="18" max="18" width="28.5" style="158" customWidth="1"/>
    <col min="19" max="19" width="8.625" style="456" customWidth="1"/>
    <col min="20" max="20" width="11.375" style="158" customWidth="1"/>
    <col min="21" max="21" width="7.25" style="158" customWidth="1"/>
    <col min="22" max="22" width="20" style="457" customWidth="1"/>
    <col min="23" max="23" width="1.875" style="161" customWidth="1"/>
    <col min="24" max="24" width="15.875" style="161" customWidth="1"/>
    <col min="25" max="29" width="13.125" style="161" customWidth="1"/>
    <col min="30" max="32" width="12.75" style="161" customWidth="1"/>
    <col min="33" max="33" width="1.875" style="161" customWidth="1"/>
    <col min="34" max="34" width="11.75" style="161" customWidth="1"/>
    <col min="35" max="35" width="14.625" style="161" customWidth="1"/>
    <col min="36" max="36" width="9" style="161"/>
    <col min="37" max="37" width="9.75" style="161" customWidth="1"/>
    <col min="38" max="38" width="11" style="159" customWidth="1"/>
    <col min="39" max="40" width="11.875" style="161" customWidth="1"/>
    <col min="41" max="41" width="1.5" style="161" customWidth="1"/>
    <col min="42" max="42" width="9" style="97"/>
    <col min="43" max="43" width="12.125" style="97" customWidth="1"/>
    <col min="44" max="44" width="11.625" style="97" customWidth="1"/>
    <col min="45" max="45" width="10.5" style="97" customWidth="1"/>
    <col min="46" max="46" width="12.625" style="97" customWidth="1"/>
    <col min="47" max="47" width="9.625" style="97" customWidth="1"/>
    <col min="48" max="49" width="10.75" style="97" customWidth="1"/>
    <col min="50" max="50" width="12.625" style="97" customWidth="1"/>
    <col min="51" max="52" width="12.625" style="97" hidden="1" customWidth="1"/>
    <col min="53" max="53" width="10.5" style="97" bestFit="1" customWidth="1"/>
    <col min="54" max="54" width="9.375" style="97" bestFit="1" customWidth="1"/>
    <col min="55" max="55" width="12.125" style="97" customWidth="1"/>
    <col min="56" max="56" width="14.75" style="97" customWidth="1"/>
    <col min="57" max="57" width="9" style="161"/>
    <col min="58" max="59" width="10.25" style="161" bestFit="1" customWidth="1"/>
    <col min="60" max="16384" width="9" style="161"/>
  </cols>
  <sheetData>
    <row r="1" spans="1:58" ht="17.25" thickBot="1">
      <c r="A1" s="1422" t="s">
        <v>0</v>
      </c>
      <c r="B1" s="1424" t="s">
        <v>134</v>
      </c>
      <c r="C1" s="1424"/>
      <c r="D1" s="1424"/>
      <c r="E1" s="1425" t="s">
        <v>133</v>
      </c>
      <c r="F1" s="1426"/>
      <c r="G1" s="1418" t="str">
        <f>IF($AE$2="추경","본예산액","전년도예산")</f>
        <v>전년도예산</v>
      </c>
      <c r="H1" s="1418" t="s">
        <v>75</v>
      </c>
      <c r="I1" s="1418" t="s">
        <v>76</v>
      </c>
      <c r="J1" s="1418" t="s">
        <v>77</v>
      </c>
      <c r="K1" s="1418" t="s">
        <v>78</v>
      </c>
      <c r="L1" s="1420" t="s">
        <v>79</v>
      </c>
      <c r="O1" s="1403" t="s">
        <v>89</v>
      </c>
      <c r="P1" s="1405" t="s">
        <v>90</v>
      </c>
      <c r="Q1" s="1397" t="s">
        <v>91</v>
      </c>
      <c r="R1" s="1399" t="s">
        <v>92</v>
      </c>
      <c r="S1" s="1401" t="s">
        <v>93</v>
      </c>
      <c r="T1" s="1401" t="s">
        <v>94</v>
      </c>
      <c r="U1" s="1401" t="s">
        <v>95</v>
      </c>
      <c r="V1" s="1389" t="s">
        <v>96</v>
      </c>
      <c r="X1" s="296" t="s">
        <v>146</v>
      </c>
      <c r="Y1" s="1436">
        <v>2026</v>
      </c>
      <c r="Z1" s="1436"/>
      <c r="AA1" s="297" t="s">
        <v>147</v>
      </c>
      <c r="AB1" s="1407" t="s">
        <v>900</v>
      </c>
      <c r="AC1" s="1407"/>
      <c r="AD1" s="1094" t="s">
        <v>148</v>
      </c>
      <c r="AE1" s="1407" t="str">
        <f>IF(예산실적비교표!$H$1=0,"",예산실적비교표!$H$1)</f>
        <v>이민희</v>
      </c>
      <c r="AF1" s="1408"/>
      <c r="AH1" s="298" t="s">
        <v>217</v>
      </c>
      <c r="AI1" s="1450" t="str">
        <f>IF(예산실적비교표!$E$3=0,"",예산실적비교표!$E$3)</f>
        <v/>
      </c>
      <c r="AJ1" s="1451"/>
      <c r="AL1" s="425" t="s">
        <v>695</v>
      </c>
      <c r="AM1" s="898" t="b">
        <v>1</v>
      </c>
      <c r="AP1" s="1528" t="s">
        <v>447</v>
      </c>
      <c r="AQ1" s="1529"/>
      <c r="AR1" s="938">
        <f>IF($AE$2="추경",100%,IF($Y$1=2024,100%,103%))</f>
        <v>1.03</v>
      </c>
      <c r="AS1" s="939"/>
      <c r="AT1" s="939"/>
      <c r="AU1" s="939"/>
      <c r="AV1" s="939"/>
      <c r="AW1" s="939"/>
      <c r="AX1" s="939"/>
      <c r="AY1" s="939"/>
      <c r="AZ1" s="939"/>
      <c r="BA1" s="161"/>
      <c r="BB1" s="161"/>
      <c r="BC1" s="161"/>
      <c r="BD1" s="161"/>
    </row>
    <row r="2" spans="1:58" ht="17.25" thickBot="1">
      <c r="A2" s="1423"/>
      <c r="B2" s="299" t="s">
        <v>1</v>
      </c>
      <c r="C2" s="299"/>
      <c r="D2" s="299" t="s">
        <v>2</v>
      </c>
      <c r="E2" s="1427"/>
      <c r="F2" s="1428"/>
      <c r="G2" s="1419"/>
      <c r="H2" s="1419"/>
      <c r="I2" s="1419"/>
      <c r="J2" s="1419"/>
      <c r="K2" s="1419"/>
      <c r="L2" s="1421"/>
      <c r="O2" s="1404"/>
      <c r="P2" s="1406"/>
      <c r="Q2" s="1398"/>
      <c r="R2" s="1400"/>
      <c r="S2" s="1402"/>
      <c r="T2" s="1402"/>
      <c r="U2" s="1402"/>
      <c r="V2" s="1390"/>
      <c r="X2" s="300" t="s">
        <v>149</v>
      </c>
      <c r="Y2" s="1437">
        <v>46002</v>
      </c>
      <c r="Z2" s="1437"/>
      <c r="AA2" s="301" t="s">
        <v>150</v>
      </c>
      <c r="AB2" s="1440" t="s">
        <v>102</v>
      </c>
      <c r="AC2" s="1441"/>
      <c r="AD2" s="555" t="s">
        <v>151</v>
      </c>
      <c r="AE2" s="772" t="str">
        <f>IF(OR($AF$2=TRUE,예산실적비교표!$I$2=TRUE),"추경","")</f>
        <v/>
      </c>
      <c r="AF2" s="596" t="b">
        <v>0</v>
      </c>
      <c r="AH2" s="298" t="s">
        <v>692</v>
      </c>
      <c r="AI2" s="1450">
        <v>1</v>
      </c>
      <c r="AJ2" s="1451"/>
      <c r="AL2" s="899" t="s">
        <v>696</v>
      </c>
      <c r="AM2" s="900" t="b">
        <v>0</v>
      </c>
      <c r="AP2" s="940" t="s">
        <v>155</v>
      </c>
      <c r="AQ2" s="1530" t="str">
        <f>데이터입력!$AB$8</f>
        <v>00</v>
      </c>
      <c r="AR2" s="1531"/>
      <c r="AS2" s="1532"/>
      <c r="AT2" s="1533" t="s">
        <v>448</v>
      </c>
      <c r="AU2" s="1534"/>
      <c r="AV2" s="1534"/>
      <c r="AW2" s="1534"/>
      <c r="AX2" s="1535"/>
      <c r="AY2" s="939"/>
      <c r="AZ2" s="939"/>
      <c r="BA2" s="161"/>
      <c r="BB2" s="161"/>
      <c r="BC2" s="161"/>
      <c r="BD2" s="161"/>
    </row>
    <row r="3" spans="1:58" ht="17.25" thickBot="1">
      <c r="A3" s="901">
        <f>IF($AM$1=TRUE,IF(K3="","",SUBTOTAL(2,$K$3:K3)),IF(AND(M3="",N3=""),"",IF(N3="",COUNT($M$3:M3),COUNT($N$3:N3)+200)))</f>
        <v>1</v>
      </c>
      <c r="B3" s="303" t="s">
        <v>5</v>
      </c>
      <c r="C3" s="303" t="s">
        <v>493</v>
      </c>
      <c r="D3" s="302">
        <v>401010201</v>
      </c>
      <c r="E3" s="302" t="s">
        <v>83</v>
      </c>
      <c r="F3" s="302" t="s">
        <v>6</v>
      </c>
      <c r="G3" s="304">
        <f>IFERROR(IF($E3="06",VLOOKUP($B3,예산실적비교표!$O$7:$R$200,2,FALSE),0),0)</f>
        <v>196824000</v>
      </c>
      <c r="H3" s="304">
        <f>IFERROR(IF($E3="06",VLOOKUP($C3,세입예산서!$K$3:$X$205,12,FALSE),0),0)</f>
        <v>202560000</v>
      </c>
      <c r="I3" s="304">
        <f>IFERROR(IF($E3="07",VLOOKUP($C3,세입예산서!$K$3:$X$205,13,FALSE),0),0)</f>
        <v>0</v>
      </c>
      <c r="J3" s="304">
        <f>IFERROR(IF($E3="05",VLOOKUP($C3,세입예산서!$K$3:$X$205,14,FALSE),0),0)</f>
        <v>0</v>
      </c>
      <c r="K3" s="304">
        <f>IF($AE$2="",IF(SUM(H3:J3)=0,"",SUM(H3:J3)-G3),IF(AND(G3=0,SUM(H3:J3)=0),"",SUM(H3:J3)-G3))</f>
        <v>5736000</v>
      </c>
      <c r="L3" s="305">
        <f>IFERROR(IF($AB$2="",0,ROUNDUP(VLOOKUP($B3,예산실적비교표!$O$7:$R$200,3,FALSE)/($Y$8-(12-$Y$9)),-2)*$Y$8),0)</f>
        <v>196824000</v>
      </c>
      <c r="M3" s="597">
        <f>IF($AM$1=TRUE,IF(K3="","",IF(IF($AE$2="",IF(K3="","",SUBTOTAL(2,$K$3:K3)),IF(AND(G3&gt;=0,K3=""),"",IF(AND(G3&gt;0,OR(K3&gt;0,K3&lt;0)),SUBTOTAL(2,$K$3:K3),IF(AND(G3=0,OR(K3&gt;0,K3&lt;0)),SUBTOTAL(2,$K$3:K3)+200,""))))&gt;200,"",1)),IF(K3="","",IF(IF($AE$2="",IF(K3="","",SUBTOTAL(2,$K$3:K3)),IF(AND(G3&gt;=0,K3=""),"",IF(AND(G3&gt;0,OR(K3&gt;0,K3&lt;0)),SUBTOTAL(2,$K$3:K3),IF(AND(G3=0,OR(K3&gt;0,K3&lt;0)),SUBTOTAL(2,$K$3:K3)+200,""))))&gt;200,"",1)))</f>
        <v>1</v>
      </c>
      <c r="N3" s="161" t="str">
        <f>IF($AM$1=TRUE,IF(K3="","",IF(IF($AE$2="",IF(K3="","",SUBTOTAL(2,$K$3:K3)),IF(AND(G3&gt;=0,K3=""),"",IF(AND(G3&gt;0,OR(K3&gt;0,K3&lt;0)),SUBTOTAL(2,$K$3:K3),IF(AND(G3=0,OR(K3&gt;0,K3&lt;0)),SUBTOTAL(2,$K$3:K3)+200,""))))&lt;=200,"",2)),IF(K3="","",IF(IF($AE$2="",IF(K3="","",SUBTOTAL(2,$K$3:K3)),IF(AND(G3&gt;=0,K3=""),"",IF(AND(G3&gt;0,OR(K3&gt;0,K3&lt;0)),SUBTOTAL(2,$K$3:K3),IF(AND(G3=0,OR(K3&gt;0,K3&lt;0)),SUBTOTAL(2,$K$3:K3)+200,""))))&lt;=200,"",2)))</f>
        <v/>
      </c>
      <c r="O3" s="1394" t="s">
        <v>97</v>
      </c>
      <c r="P3" s="1395"/>
      <c r="Q3" s="1395"/>
      <c r="R3" s="1395"/>
      <c r="S3" s="1395"/>
      <c r="T3" s="1395"/>
      <c r="U3" s="1395"/>
      <c r="V3" s="1396"/>
      <c r="X3" s="1497" t="s">
        <v>628</v>
      </c>
      <c r="Y3" s="1498"/>
      <c r="Z3" s="1498"/>
      <c r="AA3" s="1498"/>
      <c r="AB3" s="1498"/>
      <c r="AC3" s="1498"/>
      <c r="AD3" s="1498"/>
      <c r="AE3" s="1498"/>
      <c r="AF3" s="1499"/>
      <c r="AP3" s="941" t="s">
        <v>158</v>
      </c>
      <c r="AQ3" s="1536" t="str">
        <f>데이터입력!$AC$9</f>
        <v>일반사업[일반]</v>
      </c>
      <c r="AR3" s="1536"/>
      <c r="AS3" s="1537"/>
      <c r="AT3" s="942" t="s">
        <v>160</v>
      </c>
      <c r="AU3" s="943" t="s">
        <v>162</v>
      </c>
      <c r="AV3" s="943" t="s">
        <v>164</v>
      </c>
      <c r="AW3" s="943" t="s">
        <v>450</v>
      </c>
      <c r="AX3" s="944" t="s">
        <v>165</v>
      </c>
      <c r="AY3" s="939"/>
      <c r="AZ3" s="939"/>
      <c r="BA3" s="161"/>
      <c r="BB3" s="161"/>
      <c r="BC3" s="161"/>
      <c r="BD3" s="161"/>
    </row>
    <row r="4" spans="1:58" ht="17.25" thickBot="1">
      <c r="A4" s="901">
        <f>IF($AM$1=TRUE,IF(K4="","",SUBTOTAL(2,$K$3:K4)),IF(AND(M4="",N4=""),"",IF(N4="",COUNT($M$3:M4),COUNT($N$3:N4)+200)))</f>
        <v>2</v>
      </c>
      <c r="B4" s="303" t="s">
        <v>7</v>
      </c>
      <c r="C4" s="303" t="s">
        <v>494</v>
      </c>
      <c r="D4" s="302">
        <v>401010301</v>
      </c>
      <c r="E4" s="302" t="s">
        <v>83</v>
      </c>
      <c r="F4" s="302" t="s">
        <v>6</v>
      </c>
      <c r="G4" s="304">
        <f>IFERROR(IF($E4="06",VLOOKUP($B4,예산실적비교표!$O$7:$R$200,2,FALSE),0),0)</f>
        <v>119180160</v>
      </c>
      <c r="H4" s="304">
        <f>IFERROR(IF($E4="06",VLOOKUP($C4,세입예산서!$K$3:$X$205,12,FALSE),0),0)</f>
        <v>119180160</v>
      </c>
      <c r="I4" s="304">
        <f>IFERROR(IF($E4="07",VLOOKUP($C4,세입예산서!$K$3:$X$205,13,FALSE),0),0)</f>
        <v>0</v>
      </c>
      <c r="J4" s="304">
        <f>IFERROR(IF($E4="05",VLOOKUP($C4,세입예산서!$K$3:$X$205,14,FALSE),0),0)</f>
        <v>0</v>
      </c>
      <c r="K4" s="304">
        <f t="shared" ref="K4:K40" si="0">IF($AE$2="",IF(SUM(H4:J4)=0,"",SUM(H4:J4)-G4),IF(AND(G4=0,SUM(H4:J4)=0),"",SUM(H4:J4)-G4))</f>
        <v>0</v>
      </c>
      <c r="L4" s="305">
        <f>IFERROR(IF($AB$2="",0,ROUNDUP(VLOOKUP($B4,예산실적비교표!$O$7:$R$200,3,FALSE)/($Y$8-(12-$Y$9)),-2)*$Y$8),0)</f>
        <v>119180400</v>
      </c>
      <c r="M4" s="597">
        <f>IF($AM$1=TRUE,IF(K4="","",IF(IF($AE$2="",IF(K4="","",SUBTOTAL(2,$K$3:K4)),IF(AND(G4&gt;=0,K4=""),"",IF(AND(G4&gt;0,OR(K4&gt;0,K4&lt;0)),SUBTOTAL(2,$K$3:K4),IF(AND(G4=0,OR(K4&gt;0,K4&lt;0)),SUBTOTAL(2,$K$3:K4)+200,""))))&gt;200,"",1)),IF(K4="","",IF(IF($AE$2="",IF(K4="","",SUBTOTAL(2,$K$3:K4)),IF(AND(G4&gt;=0,K4=""),"",IF(AND(G4&gt;0,OR(K4&gt;0,K4&lt;0)),SUBTOTAL(2,$K$3:K4),IF(AND(G4=0,OR(K4&gt;0,K4&lt;0)),SUBTOTAL(2,$K$3:K4)+200,""))))&gt;200,"",1)))</f>
        <v>1</v>
      </c>
      <c r="N4" s="161" t="str">
        <f>IF($AM$1=TRUE,IF(K4="","",IF(IF($AE$2="",IF(K4="","",SUBTOTAL(2,$K$3:K4)),IF(AND(G4&gt;=0,K4=""),"",IF(AND(G4&gt;0,OR(K4&gt;0,K4&lt;0)),SUBTOTAL(2,$K$3:K4),IF(AND(G4=0,OR(K4&gt;0,K4&lt;0)),SUBTOTAL(2,$K$3:K4)+200,""))))&lt;=200,"",2)),IF(K4="","",IF(IF($AE$2="",IF(K4="","",SUBTOTAL(2,$K$3:K4)),IF(AND(G4&gt;=0,K4=""),"",IF(AND(G4&gt;0,OR(K4&gt;0,K4&lt;0)),SUBTOTAL(2,$K$3:K4),IF(AND(G4=0,OR(K4&gt;0,K4&lt;0)),SUBTOTAL(2,$K$3:K4)+200,""))))&lt;=200,"",2)))</f>
        <v/>
      </c>
      <c r="O4" s="458"/>
      <c r="P4" s="306">
        <f>IF(L31&gt;0,IF($AC$6&lt;=ROUNDUP(($L$31/$Y$8*$Y$6)/T4,0),ROUNDUP(($L$31/$Y$8*$Y$6)/T4,0),$AC$6),IF($AC$6&gt;0,$AC$6,0))</f>
        <v>12</v>
      </c>
      <c r="Q4" s="469">
        <v>0</v>
      </c>
      <c r="R4" s="307" t="s">
        <v>98</v>
      </c>
      <c r="S4" s="308" t="s">
        <v>99</v>
      </c>
      <c r="T4" s="476">
        <f>IF($Y$1=2025,예산평균!AE22,예산평균!AF22)</f>
        <v>400000</v>
      </c>
      <c r="U4" s="309">
        <f>IF(COUNTIF(X5:Y5,TRUE)&gt;=1,IF(OR(Q4="",Q4=0),P4,Q4),IF(OR(Q4="",Q4=0),0,Q4))</f>
        <v>12</v>
      </c>
      <c r="V4" s="477"/>
      <c r="X4" s="310" t="s">
        <v>468</v>
      </c>
      <c r="Y4" s="311" t="s">
        <v>469</v>
      </c>
      <c r="Z4" s="311" t="s">
        <v>470</v>
      </c>
      <c r="AA4" s="311" t="s">
        <v>625</v>
      </c>
      <c r="AB4" s="311" t="s">
        <v>471</v>
      </c>
      <c r="AC4" s="311" t="s">
        <v>624</v>
      </c>
      <c r="AD4" s="311" t="s">
        <v>472</v>
      </c>
      <c r="AE4" s="311" t="s">
        <v>473</v>
      </c>
      <c r="AF4" s="312" t="s">
        <v>626</v>
      </c>
      <c r="AH4" s="1315" t="s">
        <v>824</v>
      </c>
      <c r="AP4" s="945" t="s">
        <v>156</v>
      </c>
      <c r="AQ4" s="1538" t="str">
        <f>데이터입력!$AC$10</f>
        <v>노인요양시설(개정법)</v>
      </c>
      <c r="AR4" s="1538"/>
      <c r="AS4" s="1539"/>
      <c r="AT4" s="946">
        <f>AT7</f>
        <v>4.7500000000000001E-2</v>
      </c>
      <c r="AU4" s="947">
        <f>AU7</f>
        <v>3.5950000000000003E-2</v>
      </c>
      <c r="AV4" s="948">
        <f>AV7</f>
        <v>0.13139999999999999</v>
      </c>
      <c r="AW4" s="948">
        <f>데이터입력!$AD$12</f>
        <v>8.9999999999999993E-3</v>
      </c>
      <c r="AX4" s="949"/>
      <c r="AY4" s="939"/>
      <c r="AZ4" s="939"/>
      <c r="BA4" s="161"/>
      <c r="BB4" s="161"/>
      <c r="BC4" s="161"/>
      <c r="BD4" s="161"/>
    </row>
    <row r="5" spans="1:58" ht="17.25" thickBot="1">
      <c r="A5" s="901" t="str">
        <f>IF($AM$1=TRUE,IF(K5="","",SUBTOTAL(2,$K$3:K5)),IF(AND(M5="",N5=""),"",IF(N5="",COUNT($M$3:M5),COUNT($N$3:N5)+200)))</f>
        <v/>
      </c>
      <c r="B5" s="303" t="s">
        <v>8</v>
      </c>
      <c r="C5" s="303" t="s">
        <v>495</v>
      </c>
      <c r="D5" s="302">
        <v>401010401</v>
      </c>
      <c r="E5" s="302" t="s">
        <v>83</v>
      </c>
      <c r="F5" s="302" t="s">
        <v>6</v>
      </c>
      <c r="G5" s="304">
        <f>IFERROR(IF($E5="06",VLOOKUP($B5,예산실적비교표!$O$7:$R$200,2,FALSE),0),0)</f>
        <v>0</v>
      </c>
      <c r="H5" s="304">
        <f>IFERROR(IF($E5="06",VLOOKUP($C5,세입예산서!$K$3:$X$205,12,FALSE),0),0)</f>
        <v>0</v>
      </c>
      <c r="I5" s="304">
        <f>IFERROR(IF($E5="07",VLOOKUP($C5,세입예산서!$K$3:$X$205,13,FALSE),0),0)</f>
        <v>0</v>
      </c>
      <c r="J5" s="304">
        <f>IFERROR(IF($E5="05",VLOOKUP($C5,세입예산서!$K$3:$X$205,14,FALSE),0),0)</f>
        <v>0</v>
      </c>
      <c r="K5" s="304" t="str">
        <f t="shared" si="0"/>
        <v/>
      </c>
      <c r="L5" s="305">
        <f>IFERROR(IF($AB$2="",0,ROUNDUP(VLOOKUP($B5,예산실적비교표!$O$7:$R$200,3,FALSE)*$Y$6/($Y$8-(12-$Y$9)),-2)*$Y$8),0)</f>
        <v>0</v>
      </c>
      <c r="M5" s="597" t="str">
        <f>IF($AM$1=TRUE,IF(K5="","",IF(IF($AE$2="",IF(K5="","",SUBTOTAL(2,$K$3:K5)),IF(AND(G5&gt;=0,K5=""),"",IF(AND(G5&gt;0,OR(K5&gt;0,K5&lt;0)),SUBTOTAL(2,$K$3:K5),IF(AND(G5=0,OR(K5&gt;0,K5&lt;0)),SUBTOTAL(2,$K$3:K5)+200,""))))&gt;200,"",1)),IF(K5="","",IF(IF($AE$2="",IF(K5="","",SUBTOTAL(2,$K$3:K5)),IF(AND(G5&gt;=0,K5=""),"",IF(AND(G5&gt;0,OR(K5&gt;0,K5&lt;0)),SUBTOTAL(2,$K$3:K5),IF(AND(G5=0,OR(K5&gt;0,K5&lt;0)),SUBTOTAL(2,$K$3:K5)+200,""))))&gt;200,"",1)))</f>
        <v/>
      </c>
      <c r="N5" s="161" t="str">
        <f>IF($AM$1=TRUE,IF(K5="","",IF(IF($AE$2="",IF(K5="","",SUBTOTAL(2,$K$3:K5)),IF(AND(G5&gt;=0,K5=""),"",IF(AND(G5&gt;0,OR(K5&gt;0,K5&lt;0)),SUBTOTAL(2,$K$3:K5),IF(AND(G5=0,OR(K5&gt;0,K5&lt;0)),SUBTOTAL(2,$K$3:K5)+200,""))))&lt;=200,"",2)),IF(K5="","",IF(IF($AE$2="",IF(K5="","",SUBTOTAL(2,$K$3:K5)),IF(AND(G5&gt;=0,K5=""),"",IF(AND(G5&gt;0,OR(K5&gt;0,K5&lt;0)),SUBTOTAL(2,$K$3:K5),IF(AND(G5=0,OR(K5&gt;0,K5&lt;0)),SUBTOTAL(2,$K$3:K5)+200,""))))&lt;=200,"",2)))</f>
        <v/>
      </c>
      <c r="O5" s="459"/>
      <c r="P5" s="313"/>
      <c r="Q5" s="470"/>
      <c r="R5" s="314" t="s">
        <v>100</v>
      </c>
      <c r="S5" s="315" t="s">
        <v>99</v>
      </c>
      <c r="T5" s="1186">
        <f>IF($Y$1=2024,예산평균!AE23,예산평균!AF23)</f>
        <v>40000</v>
      </c>
      <c r="U5" s="316"/>
      <c r="V5" s="478">
        <v>1</v>
      </c>
      <c r="X5" s="559" t="b">
        <v>1</v>
      </c>
      <c r="Y5" s="560" t="b">
        <v>0</v>
      </c>
      <c r="Z5" s="560" t="b">
        <v>0</v>
      </c>
      <c r="AA5" s="560" t="b">
        <v>0</v>
      </c>
      <c r="AB5" s="560" t="b">
        <v>0</v>
      </c>
      <c r="AC5" s="560" t="b">
        <v>0</v>
      </c>
      <c r="AD5" s="560" t="b">
        <v>0</v>
      </c>
      <c r="AE5" s="560" t="b">
        <v>0</v>
      </c>
      <c r="AF5" s="561" t="b">
        <v>0</v>
      </c>
      <c r="AH5" s="1314" t="b">
        <v>0</v>
      </c>
      <c r="AP5" s="1540" t="s">
        <v>159</v>
      </c>
      <c r="AQ5" s="1541"/>
      <c r="AR5" s="1542">
        <f>데이터입력!$Y$12</f>
        <v>0</v>
      </c>
      <c r="AS5" s="1543"/>
      <c r="AT5" s="1533" t="str">
        <f>데이터입력!$AA$11</f>
        <v>4대보험요율(합산)</v>
      </c>
      <c r="AU5" s="1534"/>
      <c r="AV5" s="1534"/>
      <c r="AW5" s="1534"/>
      <c r="AX5" s="1535"/>
      <c r="AY5" s="939"/>
      <c r="AZ5" s="939"/>
      <c r="BA5" s="161"/>
      <c r="BB5" s="161"/>
      <c r="BC5" s="161"/>
      <c r="BD5" s="161"/>
    </row>
    <row r="6" spans="1:58" ht="16.5" customHeight="1" thickBot="1">
      <c r="A6" s="901" t="str">
        <f>IF($AM$1=TRUE,IF(K6="","",SUBTOTAL(2,$K$3:K6)),IF(AND(M6="",N6=""),"",IF(N6="",COUNT($M$3:M6),COUNT($N$3:N6)+200)))</f>
        <v/>
      </c>
      <c r="B6" s="303" t="s">
        <v>9</v>
      </c>
      <c r="C6" s="303" t="s">
        <v>496</v>
      </c>
      <c r="D6" s="302">
        <v>401010501</v>
      </c>
      <c r="E6" s="302" t="s">
        <v>83</v>
      </c>
      <c r="F6" s="302" t="s">
        <v>6</v>
      </c>
      <c r="G6" s="304">
        <f>IFERROR(IF($E6="06",VLOOKUP($B6,예산실적비교표!$O$7:$R$200,2,FALSE),0),0)</f>
        <v>0</v>
      </c>
      <c r="H6" s="304">
        <f>IFERROR(IF($E6="06",VLOOKUP($C6,세입예산서!$K$3:$X$205,12,FALSE),0),0)</f>
        <v>0</v>
      </c>
      <c r="I6" s="304">
        <f>IFERROR(IF($E6="07",VLOOKUP($C6,세입예산서!$K$3:$X$205,13,FALSE),0),0)</f>
        <v>0</v>
      </c>
      <c r="J6" s="304">
        <f>IFERROR(IF($E6="05",VLOOKUP($C6,세입예산서!$K$3:$X$205,14,FALSE),0),0)</f>
        <v>0</v>
      </c>
      <c r="K6" s="304" t="str">
        <f t="shared" si="0"/>
        <v/>
      </c>
      <c r="L6" s="305">
        <f>IFERROR(IF($AB$2="",0,ROUNDUP(VLOOKUP($B6,예산실적비교표!$O$7:$R$200,3,FALSE)*$Y$6/($Y$8-(12-$Y$9)),-2)*$Y$8),0)</f>
        <v>0</v>
      </c>
      <c r="M6" s="597" t="str">
        <f>IF($AM$1=TRUE,IF(K6="","",IF(IF($AE$2="",IF(K6="","",SUBTOTAL(2,$K$3:K6)),IF(AND(G6&gt;=0,K6=""),"",IF(AND(G6&gt;0,OR(K6&gt;0,K6&lt;0)),SUBTOTAL(2,$K$3:K6),IF(AND(G6=0,OR(K6&gt;0,K6&lt;0)),SUBTOTAL(2,$K$3:K6)+200,""))))&gt;200,"",1)),IF(K6="","",IF(IF($AE$2="",IF(K6="","",SUBTOTAL(2,$K$3:K6)),IF(AND(G6&gt;=0,K6=""),"",IF(AND(G6&gt;0,OR(K6&gt;0,K6&lt;0)),SUBTOTAL(2,$K$3:K6),IF(AND(G6=0,OR(K6&gt;0,K6&lt;0)),SUBTOTAL(2,$K$3:K6)+200,""))))&gt;200,"",1)))</f>
        <v/>
      </c>
      <c r="N6" s="161" t="str">
        <f>IF($AM$1=TRUE,IF(K6="","",IF(IF($AE$2="",IF(K6="","",SUBTOTAL(2,$K$3:K6)),IF(AND(G6&gt;=0,K6=""),"",IF(AND(G6&gt;0,OR(K6&gt;0,K6&lt;0)),SUBTOTAL(2,$K$3:K6),IF(AND(G6=0,OR(K6&gt;0,K6&lt;0)),SUBTOTAL(2,$K$3:K6)+200,""))))&lt;=200,"",2)),IF(K6="","",IF(IF($AE$2="",IF(K6="","",SUBTOTAL(2,$K$3:K6)),IF(AND(G6&gt;=0,K6=""),"",IF(AND(G6&gt;0,OR(K6&gt;0,K6&lt;0)),SUBTOTAL(2,$K$3:K6),IF(AND(G6=0,OR(K6&gt;0,K6&lt;0)),SUBTOTAL(2,$K$3:K6)+200,""))))&lt;=200,"",2)))</f>
        <v/>
      </c>
      <c r="O6" s="459"/>
      <c r="P6" s="313"/>
      <c r="Q6" s="471"/>
      <c r="R6" s="314" t="s">
        <v>101</v>
      </c>
      <c r="S6" s="315" t="s">
        <v>99</v>
      </c>
      <c r="T6" s="1186">
        <f>IF($Y$1=2024,예산평균!AE24,예산평균!AF24)</f>
        <v>50000</v>
      </c>
      <c r="U6" s="317"/>
      <c r="V6" s="478">
        <f>IF($Y$8&lt;4,1,2)</f>
        <v>2</v>
      </c>
      <c r="X6" s="318" t="s">
        <v>152</v>
      </c>
      <c r="Y6" s="1455">
        <v>1</v>
      </c>
      <c r="Z6" s="1456"/>
      <c r="AA6" s="1457" t="str">
        <f>$Y$1-1&amp;"년도 수급자수(보조금)"</f>
        <v>2025년도 수급자수(보조금)</v>
      </c>
      <c r="AB6" s="1458"/>
      <c r="AC6" s="564">
        <f>IF(예산실적비교표!$F$4=0,0,예산실적비교표!$F$4)</f>
        <v>12</v>
      </c>
      <c r="AD6" s="1438" t="str">
        <f>Y1-1&amp;"년도 수급자수(전체)"</f>
        <v>2025년도 수급자수(전체)</v>
      </c>
      <c r="AE6" s="1439"/>
      <c r="AF6" s="564">
        <f>IF(예산실적비교표!$C$4=0,0,예산실적비교표!$C$4)</f>
        <v>45</v>
      </c>
      <c r="AH6" s="1447" t="s">
        <v>218</v>
      </c>
      <c r="AI6" s="1448"/>
      <c r="AJ6" s="1449"/>
      <c r="AL6" s="1447" t="s">
        <v>235</v>
      </c>
      <c r="AM6" s="1448"/>
      <c r="AN6" s="1449"/>
      <c r="AP6" s="1544" t="s">
        <v>161</v>
      </c>
      <c r="AQ6" s="1545"/>
      <c r="AR6" s="1546">
        <f>데이터입력!$Y$13</f>
        <v>1475556000</v>
      </c>
      <c r="AS6" s="1547"/>
      <c r="AT6" s="942" t="s">
        <v>160</v>
      </c>
      <c r="AU6" s="943" t="s">
        <v>162</v>
      </c>
      <c r="AV6" s="943" t="s">
        <v>164</v>
      </c>
      <c r="AW6" s="943" t="s">
        <v>450</v>
      </c>
      <c r="AX6" s="944" t="s">
        <v>165</v>
      </c>
      <c r="AY6" s="939"/>
      <c r="AZ6" s="939"/>
      <c r="BA6" s="161"/>
      <c r="BB6" s="161"/>
      <c r="BC6" s="161"/>
      <c r="BD6" s="161"/>
    </row>
    <row r="7" spans="1:58" ht="17.25" customHeight="1" thickBot="1">
      <c r="A7" s="901">
        <f>IF($AM$1=TRUE,IF(K7="","",SUBTOTAL(2,$K$3:K7)),IF(AND(M7="",N7=""),"",IF(N7="",COUNT($M$3:M7),COUNT($N$3:N7)+200)))</f>
        <v>3</v>
      </c>
      <c r="B7" s="303" t="s">
        <v>10</v>
      </c>
      <c r="C7" s="303" t="s">
        <v>497</v>
      </c>
      <c r="D7" s="302">
        <v>401010601</v>
      </c>
      <c r="E7" s="302" t="s">
        <v>83</v>
      </c>
      <c r="F7" s="302" t="s">
        <v>6</v>
      </c>
      <c r="G7" s="304">
        <f>IFERROR(IF($E7="06",VLOOKUP($B7,예산실적비교표!$O$7:$R$200,2,FALSE),0),0)</f>
        <v>36000000</v>
      </c>
      <c r="H7" s="304">
        <f>IFERROR(IF($E7="06",VLOOKUP($C7,세입예산서!$K$3:$X$205,12,FALSE),0),0)</f>
        <v>36000000</v>
      </c>
      <c r="I7" s="304">
        <f>IFERROR(IF($E7="07",VLOOKUP($C7,세입예산서!$K$3:$X$205,13,FALSE),0),0)</f>
        <v>0</v>
      </c>
      <c r="J7" s="304">
        <f>IFERROR(IF($E7="05",VLOOKUP($C7,세입예산서!$K$3:$X$205,14,FALSE),0),0)</f>
        <v>0</v>
      </c>
      <c r="K7" s="304">
        <f t="shared" si="0"/>
        <v>0</v>
      </c>
      <c r="L7" s="305">
        <f>IFERROR(IF($AB$2="",0,ROUNDUP(VLOOKUP($B7,예산실적비교표!$O$7:$R$200,3,FALSE)*$Y$6/($Y$8-(12-$Y$9)),-2)*$Y$8),0)</f>
        <v>36000000</v>
      </c>
      <c r="M7" s="597">
        <f>IF($AM$1=TRUE,IF(K7="","",IF(IF($AE$2="",IF(K7="","",SUBTOTAL(2,$K$3:K7)),IF(AND(G7&gt;=0,K7=""),"",IF(AND(G7&gt;0,OR(K7&gt;0,K7&lt;0)),SUBTOTAL(2,$K$3:K7),IF(AND(G7=0,OR(K7&gt;0,K7&lt;0)),SUBTOTAL(2,$K$3:K7)+200,""))))&gt;200,"",1)),IF(K7="","",IF(IF($AE$2="",IF(K7="","",SUBTOTAL(2,$K$3:K7)),IF(AND(G7&gt;=0,K7=""),"",IF(AND(G7&gt;0,OR(K7&gt;0,K7&lt;0)),SUBTOTAL(2,$K$3:K7),IF(AND(G7=0,OR(K7&gt;0,K7&lt;0)),SUBTOTAL(2,$K$3:K7)+200,""))))&gt;200,"",1)))</f>
        <v>1</v>
      </c>
      <c r="N7" s="161" t="str">
        <f>IF($AM$1=TRUE,IF(K7="","",IF(IF($AE$2="",IF(K7="","",SUBTOTAL(2,$K$3:K7)),IF(AND(G7&gt;=0,K7=""),"",IF(AND(G7&gt;0,OR(K7&gt;0,K7&lt;0)),SUBTOTAL(2,$K$3:K7),IF(AND(G7=0,OR(K7&gt;0,K7&lt;0)),SUBTOTAL(2,$K$3:K7)+200,""))))&lt;=200,"",2)),IF(K7="","",IF(IF($AE$2="",IF(K7="","",SUBTOTAL(2,$K$3:K7)),IF(AND(G7&gt;=0,K7=""),"",IF(AND(G7&gt;0,OR(K7&gt;0,K7&lt;0)),SUBTOTAL(2,$K$3:K7),IF(AND(G7=0,OR(K7&gt;0,K7&lt;0)),SUBTOTAL(2,$K$3:K7)+200,""))))&lt;=200,"",2)))</f>
        <v/>
      </c>
      <c r="O7" s="460">
        <f>IF(Q7="",0%,10%)</f>
        <v>0.1</v>
      </c>
      <c r="P7" s="313">
        <f>IF(AND($AB$2=R7,($L$3+$L$14)=0),ROUND(($AF$7-$Y$26)*O7,0),IF($AB$2=R7,IF(OR(예산실적비교표!D8=0,예산실적비교표!D8=""),ROUND((($L$3+$L$14)/$Y$8*100%*O7)/(T7*V7),0),예산실적비교표!D8),0))</f>
        <v>4</v>
      </c>
      <c r="Q7" s="472">
        <v>0</v>
      </c>
      <c r="R7" s="314" t="s">
        <v>102</v>
      </c>
      <c r="S7" s="315" t="s">
        <v>103</v>
      </c>
      <c r="T7" s="621">
        <f>IF($AH$5=TRUE,IF($Y$1=2025,예산평균!AG25,예산평균!AH25),IF($Y$1=2025,예산평균!AE25,예산평균!AF25))</f>
        <v>93070</v>
      </c>
      <c r="U7" s="309">
        <f>IF(OR(Q7="",Q7=0),P7,Q7)</f>
        <v>4</v>
      </c>
      <c r="V7" s="1284">
        <f>IF(OR(예산실적비교표!D10=0,예산실적비교표!D10=""),30.4,예산실적비교표!D10)</f>
        <v>30.4</v>
      </c>
      <c r="X7" s="327" t="s">
        <v>154</v>
      </c>
      <c r="Y7" s="1434">
        <v>1</v>
      </c>
      <c r="Z7" s="1435"/>
      <c r="AA7" s="1452" t="s">
        <v>153</v>
      </c>
      <c r="AB7" s="1453"/>
      <c r="AC7" s="1454"/>
      <c r="AD7" s="1463" t="str">
        <f>Y1&amp;"년도 수급자수(전체)"</f>
        <v>2026년도 수급자수(전체)</v>
      </c>
      <c r="AE7" s="1464"/>
      <c r="AF7" s="563">
        <f>AF6</f>
        <v>45</v>
      </c>
      <c r="AH7" s="322" t="s">
        <v>102</v>
      </c>
      <c r="AI7" s="1465" t="s">
        <v>219</v>
      </c>
      <c r="AJ7" s="1466"/>
      <c r="AL7" s="897" t="s">
        <v>102</v>
      </c>
      <c r="AM7" s="1432" t="s">
        <v>219</v>
      </c>
      <c r="AN7" s="1433"/>
      <c r="AP7" s="1548" t="s">
        <v>163</v>
      </c>
      <c r="AQ7" s="1549"/>
      <c r="AR7" s="1550" t="e">
        <f>데이터입력!$Y$14</f>
        <v>#REF!</v>
      </c>
      <c r="AS7" s="1551"/>
      <c r="AT7" s="956">
        <f>데이터입력!$AB$12</f>
        <v>4.7500000000000001E-2</v>
      </c>
      <c r="AU7" s="957">
        <f>데이터입력!$AB$13</f>
        <v>3.5950000000000003E-2</v>
      </c>
      <c r="AV7" s="957">
        <f>데이터입력!$AB$14</f>
        <v>0.13139999999999999</v>
      </c>
      <c r="AW7" s="957">
        <f>데이터입력!$AD$13</f>
        <v>1.15E-2</v>
      </c>
      <c r="AX7" s="958">
        <f>데이터입력!$AD$14</f>
        <v>8.0999999999999996E-3</v>
      </c>
      <c r="AY7" s="939"/>
      <c r="AZ7" s="939"/>
      <c r="BA7" s="161"/>
      <c r="BB7" s="161"/>
      <c r="BC7" s="161"/>
      <c r="BD7" s="161"/>
    </row>
    <row r="8" spans="1:58" ht="17.25" customHeight="1" thickBot="1">
      <c r="A8" s="901" t="str">
        <f>IF($AM$1=TRUE,IF(K8="","",SUBTOTAL(2,$K$3:K8)),IF(AND(M8="",N8=""),"",IF(N8="",COUNT($M$3:M8),COUNT($N$3:N8)+200)))</f>
        <v/>
      </c>
      <c r="B8" s="303" t="s">
        <v>11</v>
      </c>
      <c r="C8" s="303" t="s">
        <v>498</v>
      </c>
      <c r="D8" s="302">
        <v>402010101</v>
      </c>
      <c r="E8" s="302" t="s">
        <v>83</v>
      </c>
      <c r="F8" s="302" t="s">
        <v>6</v>
      </c>
      <c r="G8" s="304">
        <f>IFERROR(IF($E8="06",VLOOKUP($B8,예산실적비교표!$O$7:$R$200,2,FALSE),0),0)</f>
        <v>0</v>
      </c>
      <c r="H8" s="304">
        <f>IFERROR(IF($E8="06",VLOOKUP($C8,세입예산서!$K$3:$X$205,12,FALSE),0),0)</f>
        <v>0</v>
      </c>
      <c r="I8" s="304">
        <f>IFERROR(IF($E8="07",VLOOKUP($C8,세입예산서!$K$3:$X$205,13,FALSE),0),0)</f>
        <v>0</v>
      </c>
      <c r="J8" s="304">
        <f>IFERROR(IF($E8="05",VLOOKUP($C8,세입예산서!$K$3:$X$205,14,FALSE),0),0)</f>
        <v>0</v>
      </c>
      <c r="K8" s="304" t="str">
        <f t="shared" si="0"/>
        <v/>
      </c>
      <c r="L8" s="305">
        <f>IFERROR(IF($AB$2="",0,ROUNDUP(VLOOKUP($B8,예산실적비교표!$O$7:$R$200,3,FALSE)*$Y$6/($Y$8-(12-$Y$9)),-2)*$Y$8),0)</f>
        <v>0</v>
      </c>
      <c r="M8" s="597" t="str">
        <f>IF($AM$1=TRUE,IF(K8="","",IF(IF($AE$2="",IF(K8="","",SUBTOTAL(2,$K$3:K8)),IF(AND(G8&gt;=0,K8=""),"",IF(AND(G8&gt;0,OR(K8&gt;0,K8&lt;0)),SUBTOTAL(2,$K$3:K8),IF(AND(G8=0,OR(K8&gt;0,K8&lt;0)),SUBTOTAL(2,$K$3:K8)+200,""))))&gt;200,"",1)),IF(K8="","",IF(IF($AE$2="",IF(K8="","",SUBTOTAL(2,$K$3:K8)),IF(AND(G8&gt;=0,K8=""),"",IF(AND(G8&gt;0,OR(K8&gt;0,K8&lt;0)),SUBTOTAL(2,$K$3:K8),IF(AND(G8=0,OR(K8&gt;0,K8&lt;0)),SUBTOTAL(2,$K$3:K8)+200,""))))&gt;200,"",1)))</f>
        <v/>
      </c>
      <c r="N8" s="161" t="str">
        <f>IF($AM$1=TRUE,IF(K8="","",IF(IF($AE$2="",IF(K8="","",SUBTOTAL(2,$K$3:K8)),IF(AND(G8&gt;=0,K8=""),"",IF(AND(G8&gt;0,OR(K8&gt;0,K8&lt;0)),SUBTOTAL(2,$K$3:K8),IF(AND(G8=0,OR(K8&gt;0,K8&lt;0)),SUBTOTAL(2,$K$3:K8)+200,""))))&lt;=200,"",2)),IF(K8="","",IF(IF($AE$2="",IF(K8="","",SUBTOTAL(2,$K$3:K8)),IF(AND(G8&gt;=0,K8=""),"",IF(AND(G8&gt;0,OR(K8&gt;0,K8&lt;0)),SUBTOTAL(2,$K$3:K8),IF(AND(G8=0,OR(K8&gt;0,K8&lt;0)),SUBTOTAL(2,$K$3:K8)+200,""))))&lt;=200,"",2)))</f>
        <v/>
      </c>
      <c r="O8" s="460">
        <f>IF(Q8="",0%,20%)</f>
        <v>0.2</v>
      </c>
      <c r="P8" s="313">
        <f>IF(AND($AB$2=R8,($L$3+$L$14)=0),ROUND(($AF$7-$Y$26)*O8,0),IF($AB$2=R8,IF(OR(예산실적비교표!D9=0,예산실적비교표!D9=""),ROUND((($L$3+$L$14)/$Y$8*100%*O8)/(T8*V8),0),예산실적비교표!D9),0))</f>
        <v>8</v>
      </c>
      <c r="Q8" s="472">
        <v>0</v>
      </c>
      <c r="R8" s="314" t="s">
        <v>102</v>
      </c>
      <c r="S8" s="315" t="s">
        <v>104</v>
      </c>
      <c r="T8" s="621">
        <f>IF($AH$5=TRUE,IF($Y$1=2025,예산평균!AG26,예산평균!AH26),IF($Y$1=2025,예산평균!AE26,예산평균!AF26))</f>
        <v>86340</v>
      </c>
      <c r="U8" s="309">
        <f t="shared" ref="U8:U27" si="1">IF(OR(Q8="",Q8=0),P8,Q8)</f>
        <v>8</v>
      </c>
      <c r="V8" s="479">
        <f>V7</f>
        <v>30.4</v>
      </c>
      <c r="X8" s="318" t="s">
        <v>157</v>
      </c>
      <c r="Y8" s="761">
        <f>IF(예산실적비교표!$B$3=0,12,예산실적비교표!$B$3)</f>
        <v>12</v>
      </c>
      <c r="Z8" s="801">
        <f>DATE($Y$1,IF(Y8=12,1,12-Y8+1),1)</f>
        <v>46023</v>
      </c>
      <c r="AA8" s="293" t="s">
        <v>634</v>
      </c>
      <c r="AB8" s="1189" t="str">
        <f>IF(예산실적비교표!$E$6="","00",예산실적비교표!$E$6)</f>
        <v>00</v>
      </c>
      <c r="AC8" s="320" t="s">
        <v>635</v>
      </c>
      <c r="AD8" s="1187" t="str">
        <f>IF(예산실적비교표!$G$6="","00",예산실적비교표!$G$6)</f>
        <v>01</v>
      </c>
      <c r="AE8" s="321" t="s">
        <v>636</v>
      </c>
      <c r="AF8" s="1188" t="str">
        <f>IF(예산실적비교표!$I$6="","00",예산실적비교표!$I$6)</f>
        <v>00</v>
      </c>
      <c r="AH8" s="322" t="s">
        <v>106</v>
      </c>
      <c r="AI8" s="1465" t="s">
        <v>220</v>
      </c>
      <c r="AJ8" s="1466"/>
      <c r="AL8" s="897" t="s">
        <v>106</v>
      </c>
      <c r="AM8" s="1432" t="s">
        <v>220</v>
      </c>
      <c r="AN8" s="1433"/>
      <c r="AP8" s="1552" t="str">
        <f>"월별 보수일람표 ("&amp;표지!$B$2&amp;")"</f>
        <v>월별 보수일람표 (2026년도 예산서)</v>
      </c>
      <c r="AQ8" s="1553"/>
      <c r="AR8" s="1553"/>
      <c r="AS8" s="1553"/>
      <c r="AT8" s="1553"/>
      <c r="AU8" s="1553"/>
      <c r="AV8" s="1553"/>
      <c r="AW8" s="1553"/>
      <c r="AX8" s="1553"/>
      <c r="AY8" s="939"/>
      <c r="AZ8" s="939"/>
      <c r="BA8" s="161"/>
      <c r="BB8" s="161"/>
      <c r="BC8" s="161"/>
      <c r="BD8" s="161"/>
    </row>
    <row r="9" spans="1:58" ht="17.25" customHeight="1" thickBot="1">
      <c r="A9" s="901" t="str">
        <f>IF($AM$1=TRUE,IF(K9="","",SUBTOTAL(2,$K$3:K9)),IF(AND(M9="",N9=""),"",IF(N9="",COUNT($M$3:M9),COUNT($N$3:N9)+200)))</f>
        <v/>
      </c>
      <c r="B9" s="303" t="s">
        <v>12</v>
      </c>
      <c r="C9" s="303" t="s">
        <v>499</v>
      </c>
      <c r="D9" s="302">
        <v>403010101</v>
      </c>
      <c r="E9" s="302" t="s">
        <v>83</v>
      </c>
      <c r="F9" s="302" t="s">
        <v>6</v>
      </c>
      <c r="G9" s="304">
        <f>IFERROR(IF($E9="06",VLOOKUP($B9,예산실적비교표!$O$7:$R$200,2,FALSE),0),0)</f>
        <v>0</v>
      </c>
      <c r="H9" s="304">
        <f>IFERROR(IF($E9="06",VLOOKUP($C9,세입예산서!$K$3:$X$205,12,FALSE),0),0)</f>
        <v>0</v>
      </c>
      <c r="I9" s="304">
        <f>IFERROR(IF($E9="07",VLOOKUP($C9,세입예산서!$K$3:$X$205,13,FALSE),0),0)</f>
        <v>0</v>
      </c>
      <c r="J9" s="304">
        <f>IFERROR(IF($E9="05",VLOOKUP($C9,세입예산서!$K$3:$X$205,14,FALSE),0),0)</f>
        <v>0</v>
      </c>
      <c r="K9" s="304" t="str">
        <f t="shared" si="0"/>
        <v/>
      </c>
      <c r="L9" s="305">
        <f>IFERROR(IF($AB$2="",0,ROUNDUP(VLOOKUP($B9,예산실적비교표!$O$7:$R$200,3,FALSE)*$Y$6/($Y$8-(12-$Y$9)),-2)*$Y$8),0)</f>
        <v>0</v>
      </c>
      <c r="M9" s="597" t="str">
        <f>IF($AM$1=TRUE,IF(K9="","",IF(IF($AE$2="",IF(K9="","",SUBTOTAL(2,$K$3:K9)),IF(AND(G9&gt;=0,K9=""),"",IF(AND(G9&gt;0,OR(K9&gt;0,K9&lt;0)),SUBTOTAL(2,$K$3:K9),IF(AND(G9=0,OR(K9&gt;0,K9&lt;0)),SUBTOTAL(2,$K$3:K9)+200,""))))&gt;200,"",1)),IF(K9="","",IF(IF($AE$2="",IF(K9="","",SUBTOTAL(2,$K$3:K9)),IF(AND(G9&gt;=0,K9=""),"",IF(AND(G9&gt;0,OR(K9&gt;0,K9&lt;0)),SUBTOTAL(2,$K$3:K9),IF(AND(G9=0,OR(K9&gt;0,K9&lt;0)),SUBTOTAL(2,$K$3:K9)+200,""))))&gt;200,"",1)))</f>
        <v/>
      </c>
      <c r="N9" s="161" t="str">
        <f>IF($AM$1=TRUE,IF(K9="","",IF(IF($AE$2="",IF(K9="","",SUBTOTAL(2,$K$3:K9)),IF(AND(G9&gt;=0,K9=""),"",IF(AND(G9&gt;0,OR(K9&gt;0,K9&lt;0)),SUBTOTAL(2,$K$3:K9),IF(AND(G9=0,OR(K9&gt;0,K9&lt;0)),SUBTOTAL(2,$K$3:K9)+200,""))))&lt;=200,"",2)),IF(K9="","",IF(IF($AE$2="",IF(K9="","",SUBTOTAL(2,$K$3:K9)),IF(AND(G9&gt;=0,K9=""),"",IF(AND(G9&gt;0,OR(K9&gt;0,K9&lt;0)),SUBTOTAL(2,$K$3:K9),IF(AND(G9=0,OR(K9&gt;0,K9&lt;0)),SUBTOTAL(2,$K$3:K9)+200,""))))&lt;=200,"",2)))</f>
        <v/>
      </c>
      <c r="O9" s="460">
        <f>IF(Q9="",0%,70%)</f>
        <v>0.7</v>
      </c>
      <c r="P9" s="313">
        <f>IF($AB$2=R9,IF(OR($AF$7=0,$AF$7=""),ROUND((($L$3+$L$14)/$Y$8*100%*O9)/(T9*V9),0),$AF$7-Y26-데이터입력!P7-데이터입력!P8),0)</f>
        <v>21</v>
      </c>
      <c r="Q9" s="472">
        <v>0</v>
      </c>
      <c r="R9" s="314" t="s">
        <v>102</v>
      </c>
      <c r="S9" s="315" t="s">
        <v>105</v>
      </c>
      <c r="T9" s="621">
        <f>IF($AH$5=TRUE,IF($Y$1=2025,예산평균!AG27,예산평균!AH27),IF($Y$1=2025,예산평균!AE27,예산평균!AF27))</f>
        <v>81540</v>
      </c>
      <c r="U9" s="309">
        <f t="shared" si="1"/>
        <v>21</v>
      </c>
      <c r="V9" s="479">
        <f>V7</f>
        <v>30.4</v>
      </c>
      <c r="X9" s="319" t="s">
        <v>693</v>
      </c>
      <c r="Y9" s="802">
        <f>IF(예산실적비교표!I3=0,$Y$8,예산실적비교표!I3)</f>
        <v>12</v>
      </c>
      <c r="Z9" s="803">
        <f>DATE($Y$1,12,31)</f>
        <v>46387</v>
      </c>
      <c r="AA9" s="1442" t="s">
        <v>158</v>
      </c>
      <c r="AB9" s="1443"/>
      <c r="AC9" s="1444" t="str">
        <f>IF(예산실적비교표!$F$7="","일반사업[일반]",예산실적비교표!$F$7)</f>
        <v>일반사업[일반]</v>
      </c>
      <c r="AD9" s="1445"/>
      <c r="AE9" s="1446"/>
      <c r="AF9" s="323" t="s">
        <v>156</v>
      </c>
      <c r="AH9" s="322" t="s">
        <v>108</v>
      </c>
      <c r="AI9" s="1465" t="s">
        <v>221</v>
      </c>
      <c r="AJ9" s="1466"/>
      <c r="AL9" s="897" t="s">
        <v>108</v>
      </c>
      <c r="AM9" s="1432" t="s">
        <v>236</v>
      </c>
      <c r="AN9" s="1433"/>
      <c r="AP9" s="1554"/>
      <c r="AQ9" s="1555"/>
      <c r="AR9" s="1555"/>
      <c r="AS9" s="1555"/>
      <c r="AT9" s="1555"/>
      <c r="AU9" s="1555"/>
      <c r="AV9" s="1555"/>
      <c r="AW9" s="1555"/>
      <c r="AX9" s="1555"/>
      <c r="AY9" s="939"/>
      <c r="AZ9" s="939"/>
      <c r="BA9" s="161"/>
      <c r="BB9" s="161"/>
      <c r="BC9" s="161"/>
      <c r="BD9" s="161"/>
    </row>
    <row r="10" spans="1:58" ht="24.75" thickBot="1">
      <c r="A10" s="901" t="str">
        <f>IF($AM$1=TRUE,IF(K10="","",SUBTOTAL(2,$K$3:K10)),IF(AND(M10="",N10=""),"",IF(N10="",COUNT($M$3:M10),COUNT($N$3:N10)+200)))</f>
        <v/>
      </c>
      <c r="B10" s="303" t="s">
        <v>13</v>
      </c>
      <c r="C10" s="303" t="s">
        <v>524</v>
      </c>
      <c r="D10" s="302">
        <v>404010101</v>
      </c>
      <c r="E10" s="302" t="s">
        <v>83</v>
      </c>
      <c r="F10" s="302" t="s">
        <v>6</v>
      </c>
      <c r="G10" s="304">
        <f>IFERROR(IF($E10="06",VLOOKUP($B10,예산실적비교표!$O$7:$R$200,2,FALSE),0),0)</f>
        <v>0</v>
      </c>
      <c r="H10" s="304">
        <f>IFERROR(IF($E10="06",VLOOKUP($C10,세입예산서!$K$3:$X$205,12,FALSE),0),0)</f>
        <v>0</v>
      </c>
      <c r="I10" s="304">
        <f>IFERROR(IF($E10="07",VLOOKUP($C10,세입예산서!$K$3:$X$205,13,FALSE),0),0)</f>
        <v>0</v>
      </c>
      <c r="J10" s="304">
        <f>IFERROR(IF($E10="05",VLOOKUP($C10,세입예산서!$K$3:$X$205,14,FALSE),0),0)</f>
        <v>0</v>
      </c>
      <c r="K10" s="304" t="str">
        <f t="shared" si="0"/>
        <v/>
      </c>
      <c r="L10" s="305">
        <f>IFERROR(IF($AB$2="",0,ROUNDUP(VLOOKUP($B10,예산실적비교표!$O$7:$R$200,3,FALSE)*$Y$6/($Y$8-(12-$Y$9)),-2)*$Y$8),0)</f>
        <v>0</v>
      </c>
      <c r="M10" s="597" t="str">
        <f>IF($AM$1=TRUE,IF(K10="","",IF(IF($AE$2="",IF(K10="","",SUBTOTAL(2,$K$3:K10)),IF(AND(G10&gt;=0,K10=""),"",IF(AND(G10&gt;0,OR(K10&gt;0,K10&lt;0)),SUBTOTAL(2,$K$3:K10),IF(AND(G10=0,OR(K10&gt;0,K10&lt;0)),SUBTOTAL(2,$K$3:K10)+200,""))))&gt;200,"",1)),IF(K10="","",IF(IF($AE$2="",IF(K10="","",SUBTOTAL(2,$K$3:K10)),IF(AND(G10&gt;=0,K10=""),"",IF(AND(G10&gt;0,OR(K10&gt;0,K10&lt;0)),SUBTOTAL(2,$K$3:K10),IF(AND(G10=0,OR(K10&gt;0,K10&lt;0)),SUBTOTAL(2,$K$3:K10)+200,""))))&gt;200,"",1)))</f>
        <v/>
      </c>
      <c r="N10" s="161" t="str">
        <f>IF($AM$1=TRUE,IF(K10="","",IF(IF($AE$2="",IF(K10="","",SUBTOTAL(2,$K$3:K10)),IF(AND(G10&gt;=0,K10=""),"",IF(AND(G10&gt;0,OR(K10&gt;0,K10&lt;0)),SUBTOTAL(2,$K$3:K10),IF(AND(G10=0,OR(K10&gt;0,K10&lt;0)),SUBTOTAL(2,$K$3:K10)+200,""))))&lt;=200,"",2)),IF(K10="","",IF(IF($AE$2="",IF(K10="","",SUBTOTAL(2,$K$3:K10)),IF(AND(G10&gt;=0,K10=""),"",IF(AND(G10&gt;0,OR(K10&gt;0,K10&lt;0)),SUBTOTAL(2,$K$3:K10),IF(AND(G10=0,OR(K10&gt;0,K10&lt;0)),SUBTOTAL(2,$K$3:K10)+200,""))))&lt;=200,"",2)))</f>
        <v/>
      </c>
      <c r="O10" s="460">
        <f>IF(Q10="",0%,10%)</f>
        <v>0.1</v>
      </c>
      <c r="P10" s="313">
        <f>IF(AND($AB$2=R10,($L$3+$L$14)=0),ROUND(($AF$7-$Y$26)*O10,0),IF($AB$2=R10,IF(OR(예산실적비교표!D11=0,예산실적비교표!D11=""),ROUND((($L$3+$L$14)/$Y$8*100%*O10)/(T10*V10),0),예산실적비교표!D11),0))</f>
        <v>0</v>
      </c>
      <c r="Q10" s="472">
        <v>0</v>
      </c>
      <c r="R10" s="314" t="s">
        <v>106</v>
      </c>
      <c r="S10" s="315" t="s">
        <v>107</v>
      </c>
      <c r="T10" s="621">
        <f>IF($AH$5=TRUE,IF($Y$1=2025,예산평균!AG28,예산평균!AH28),IF($Y$1=2025,예산평균!AE28,예산평균!AF28))</f>
        <v>74590</v>
      </c>
      <c r="U10" s="309">
        <f t="shared" si="1"/>
        <v>0</v>
      </c>
      <c r="V10" s="1284">
        <f>IF(OR(예산실적비교표!E8=0,예산실적비교표!E8=""),30.4,예산실적비교표!E8)</f>
        <v>30.4</v>
      </c>
      <c r="X10" s="324" t="s">
        <v>694</v>
      </c>
      <c r="Y10" s="1190">
        <f>IF(예산실적비교표!I4=0,Y9,예산실적비교표!I4)</f>
        <v>12</v>
      </c>
      <c r="Z10" s="803">
        <f>DATE($Y$1,12,31)</f>
        <v>46387</v>
      </c>
      <c r="AA10" s="1459" t="s">
        <v>156</v>
      </c>
      <c r="AB10" s="1460"/>
      <c r="AC10" s="1461" t="str">
        <f>IFERROR(IF($AF$10=1,VLOOKUP($AB$2,$AH$7:$AJ$15,2,FALSE),VLOOKUP($AB$2,$AL$7:$AN$15,2,FALSE)),"")</f>
        <v>노인요양시설(개정법)</v>
      </c>
      <c r="AD10" s="1461"/>
      <c r="AE10" s="1462"/>
      <c r="AF10" s="500">
        <f>IF(예산실적비교표!$I$8="",1,예산실적비교표!$I$8)</f>
        <v>1</v>
      </c>
      <c r="AH10" s="322" t="s">
        <v>112</v>
      </c>
      <c r="AI10" s="1465" t="s">
        <v>222</v>
      </c>
      <c r="AJ10" s="1466"/>
      <c r="AL10" s="897" t="s">
        <v>112</v>
      </c>
      <c r="AM10" s="1432" t="s">
        <v>237</v>
      </c>
      <c r="AN10" s="1433"/>
      <c r="AP10" s="959" t="s">
        <v>454</v>
      </c>
      <c r="AQ10" s="960" t="s">
        <v>719</v>
      </c>
      <c r="AR10" s="960" t="s">
        <v>250</v>
      </c>
      <c r="AS10" s="961" t="s">
        <v>431</v>
      </c>
      <c r="AT10" s="962" t="s">
        <v>459</v>
      </c>
      <c r="AU10" s="963" t="s">
        <v>432</v>
      </c>
      <c r="AV10" s="960" t="s">
        <v>457</v>
      </c>
      <c r="AW10" s="961" t="s">
        <v>458</v>
      </c>
      <c r="AX10" s="962" t="s">
        <v>460</v>
      </c>
      <c r="AY10" s="962" t="s">
        <v>690</v>
      </c>
      <c r="AZ10" s="962" t="s">
        <v>691</v>
      </c>
      <c r="BA10" s="964" t="s">
        <v>461</v>
      </c>
      <c r="BB10" s="965" t="s">
        <v>462</v>
      </c>
      <c r="BC10" s="966" t="s">
        <v>463</v>
      </c>
      <c r="BD10" s="966" t="s">
        <v>464</v>
      </c>
    </row>
    <row r="11" spans="1:58" ht="18" thickTop="1" thickBot="1">
      <c r="A11" s="901" t="str">
        <f>IF($AM$1=TRUE,IF(K11="","",SUBTOTAL(2,$K$3:K11)),IF(AND(M11="",N11=""),"",IF(N11="",COUNT($M$3:M11),COUNT($N$3:N11)+200)))</f>
        <v/>
      </c>
      <c r="B11" s="303" t="s">
        <v>15</v>
      </c>
      <c r="C11" s="303" t="s">
        <v>525</v>
      </c>
      <c r="D11" s="302">
        <v>404010201</v>
      </c>
      <c r="E11" s="302" t="s">
        <v>83</v>
      </c>
      <c r="F11" s="302" t="s">
        <v>6</v>
      </c>
      <c r="G11" s="304">
        <f>IFERROR(IF($E11="06",VLOOKUP($B11,예산실적비교표!$O$7:$R$200,2,FALSE),0),0)</f>
        <v>0</v>
      </c>
      <c r="H11" s="304">
        <f>IFERROR(IF($E11="06",VLOOKUP($C11,세입예산서!$K$3:$X$205,12,FALSE),0),0)</f>
        <v>0</v>
      </c>
      <c r="I11" s="304">
        <f>IFERROR(IF($E11="07",VLOOKUP($C11,세입예산서!$K$3:$X$205,13,FALSE),0),0)</f>
        <v>0</v>
      </c>
      <c r="J11" s="304">
        <f>IFERROR(IF($E11="05",VLOOKUP($C11,세입예산서!$K$3:$X$205,14,FALSE),0),0)</f>
        <v>0</v>
      </c>
      <c r="K11" s="304" t="str">
        <f t="shared" si="0"/>
        <v/>
      </c>
      <c r="L11" s="305">
        <f>IFERROR(IF($AB$2="",0,ROUNDUP(VLOOKUP($B11,예산실적비교표!$O$7:$R$200,3,FALSE)*$Y$6/($Y$8-(12-$Y$9)),-2)*$Y$8),0)</f>
        <v>0</v>
      </c>
      <c r="M11" s="597" t="str">
        <f>IF($AM$1=TRUE,IF(K11="","",IF(IF($AE$2="",IF(K11="","",SUBTOTAL(2,$K$3:K11)),IF(AND(G11&gt;=0,K11=""),"",IF(AND(G11&gt;0,OR(K11&gt;0,K11&lt;0)),SUBTOTAL(2,$K$3:K11),IF(AND(G11=0,OR(K11&gt;0,K11&lt;0)),SUBTOTAL(2,$K$3:K11)+200,""))))&gt;200,"",1)),IF(K11="","",IF(IF($AE$2="",IF(K11="","",SUBTOTAL(2,$K$3:K11)),IF(AND(G11&gt;=0,K11=""),"",IF(AND(G11&gt;0,OR(K11&gt;0,K11&lt;0)),SUBTOTAL(2,$K$3:K11),IF(AND(G11=0,OR(K11&gt;0,K11&lt;0)),SUBTOTAL(2,$K$3:K11)+200,""))))&gt;200,"",1)))</f>
        <v/>
      </c>
      <c r="N11" s="161" t="str">
        <f>IF($AM$1=TRUE,IF(K11="","",IF(IF($AE$2="",IF(K11="","",SUBTOTAL(2,$K$3:K11)),IF(AND(G11&gt;=0,K11=""),"",IF(AND(G11&gt;0,OR(K11&gt;0,K11&lt;0)),SUBTOTAL(2,$K$3:K11),IF(AND(G11=0,OR(K11&gt;0,K11&lt;0)),SUBTOTAL(2,$K$3:K11)+200,""))))&lt;=200,"",2)),IF(K11="","",IF(IF($AE$2="",IF(K11="","",SUBTOTAL(2,$K$3:K11)),IF(AND(G11&gt;=0,K11=""),"",IF(AND(G11&gt;0,OR(K11&gt;0,K11&lt;0)),SUBTOTAL(2,$K$3:K11),IF(AND(G11=0,OR(K11&gt;0,K11&lt;0)),SUBTOTAL(2,$K$3:K11)+200,""))))&lt;=200,"",2)))</f>
        <v/>
      </c>
      <c r="O11" s="460">
        <f>IF(Q11="",0%,20%)</f>
        <v>0.2</v>
      </c>
      <c r="P11" s="313">
        <f>IF(AND($AB$2=R11,($L$3+$L$14)=0),ROUND(($AF$7-$Y$26)*O11,0),IF($AB$2=R11,IF(OR(예산실적비교표!D12=0,예산실적비교표!D12=""),ROUND((($L$3+$L$14)/$Y$8*100%*O11)/(T11*V11),0),예산실적비교표!D12),0))</f>
        <v>0</v>
      </c>
      <c r="Q11" s="472">
        <v>0</v>
      </c>
      <c r="R11" s="314" t="s">
        <v>106</v>
      </c>
      <c r="S11" s="315" t="s">
        <v>104</v>
      </c>
      <c r="T11" s="621">
        <f>IF($AH$5=TRUE,IF($Y$1=2025,예산평균!AG29,예산평균!AH29),IF($Y$1=2025,예산평균!AE29,예산평균!AF29))</f>
        <v>69210</v>
      </c>
      <c r="U11" s="309">
        <f t="shared" si="1"/>
        <v>0</v>
      </c>
      <c r="V11" s="479">
        <f>V10</f>
        <v>30.4</v>
      </c>
      <c r="X11" s="1483" t="s">
        <v>244</v>
      </c>
      <c r="Y11" s="1484"/>
      <c r="Z11" s="1485"/>
      <c r="AA11" s="1480" t="s">
        <v>209</v>
      </c>
      <c r="AB11" s="1481"/>
      <c r="AC11" s="1481"/>
      <c r="AD11" s="1482"/>
      <c r="AE11" s="797" t="str">
        <f>IFERROR("간접퇴직금비율("&amp;ROUND(L49/H49*100,0)&amp;"%)","간접퇴직금비율")</f>
        <v>간접퇴직금비율</v>
      </c>
      <c r="AF11" s="798" t="str">
        <f>IFERROR("직접퇴직금비율("&amp;ROUND(L48/H48*100,0)&amp;"%)","직접퇴직금비율")</f>
        <v>직접퇴직금비율</v>
      </c>
      <c r="AH11" s="322" t="s">
        <v>223</v>
      </c>
      <c r="AI11" s="1465" t="s">
        <v>224</v>
      </c>
      <c r="AJ11" s="1466"/>
      <c r="AL11" s="897" t="s">
        <v>223</v>
      </c>
      <c r="AM11" s="1432" t="s">
        <v>627</v>
      </c>
      <c r="AN11" s="1433" t="s">
        <v>238</v>
      </c>
      <c r="AP11" s="981" t="str">
        <f>IF(예산실적비교표!AL11&lt;&gt;"",예산실적비교표!AL11,"")</f>
        <v>이영희</v>
      </c>
      <c r="AQ11" s="982" t="str">
        <f>IF(예산실적비교표!AM11&lt;&gt;"",예산실적비교표!AM11,"")</f>
        <v>시설장(관리책임자)</v>
      </c>
      <c r="AR11" s="983">
        <v>6600000</v>
      </c>
      <c r="AS11" s="984">
        <f>IF(예산실적비교표!AO11&lt;&gt;"",예산실적비교표!AO11,0)</f>
        <v>0</v>
      </c>
      <c r="AT11" s="971">
        <f t="shared" ref="AT11:AT59" si="2">IFERROR(IF(AND(AP11&lt;&gt;"",(AR11+AS11)=0),1,ROUND((AR11+AS11)*$AR$1,-3)),0)</f>
        <v>6798000</v>
      </c>
      <c r="AU11" s="985">
        <f>IF(예산실적비교표!AQ11&lt;&gt;"",예산실적비교표!AQ11,0)</f>
        <v>0</v>
      </c>
      <c r="AV11" s="973">
        <f t="shared" ref="AV11" si="3">IF(BB11="",0,BB11)</f>
        <v>0</v>
      </c>
      <c r="AW11" s="974">
        <f>IF(AR11="","",ROUND((AT11*$AT$7)*데이터입력!$AE$14+(AT11*$AU$7)*데이터입력!$AE$14+(AT11*$AU$7*$AV$7)*데이터입력!$AE$14+(AT11*$AW$7)*데이터입력!$AE$14+(AT11*$AX$7)*데이터입력!$AE$14,-1))</f>
        <v>732650</v>
      </c>
      <c r="AX11" s="975">
        <f t="shared" ref="AX11" si="4">IF(SUM(AT11:AW11)=0,0,SUM(AT11:AW11))</f>
        <v>7530650</v>
      </c>
      <c r="AY11" s="976">
        <f>IFERROR(IF($AE$2=TRUE,IF(AR11+AS11=0,0,AR11+AS11),ROUND(IF(데이터입력!$AE$14=100%,ROUND(AR11*$AR$1,-3),ROUND(AR11*$AR$1,-3)-ROUND(((AR11*$AR$1)*$AT$4)*(데이터입력!$AE$14-100%)+((AR11*$AR$1)*$AU$4)*(데이터입력!$AE$14-100%)+((AR11*$AR$1)*$AU$4*$AV$4)*(데이터입력!$AE$14-100%)+((AR11*$AR$1)*$AW$4)*(데이터입력!$AE$14-100%),-1)),0)),0)</f>
        <v>6798000</v>
      </c>
      <c r="AZ11" s="977">
        <f>IFERROR(IF(AR11+AS11=0,0,IF(데이터입력!$AE$12=100%,(AT11),(AT11)+ROUND(AT11*(데이터입력!$AE$12-100%),-1))),0)</f>
        <v>6798000</v>
      </c>
      <c r="BA11" s="1095" t="str">
        <f>IFERROR(IF(AZ11=0,"",IF(AND(예산실적비교표!AP11&gt;0,예산실적비교표!AW11=0),"",ROUND(AZ11/12,0))),0)</f>
        <v/>
      </c>
      <c r="BB11" s="1096" t="str">
        <f>IF(BA11="","",IF(데이터입력!$O$71="",ROUND(AZ11/12,0),ROUND(데이터입력!$O$71/데이터입력!$Y$8/$BC$11,0)))</f>
        <v/>
      </c>
      <c r="BC11" s="980">
        <f>COUNT($BA$11:$BA$60)</f>
        <v>0</v>
      </c>
      <c r="BD11" s="980">
        <f>IF((COUNTA(AP11:AP60)-COUNTIF(AP11:AP60,""))&lt;0,COUNTA(AP11:AP60),COUNTA(AP11:AP60)-COUNTIF(AP11:AP60,""))</f>
        <v>2</v>
      </c>
    </row>
    <row r="12" spans="1:58" ht="17.25" thickBot="1">
      <c r="A12" s="901" t="str">
        <f>IF($AM$1=TRUE,IF(K12="","",SUBTOTAL(2,$K$3:K12)),IF(AND(M12="",N12=""),"",IF(N12="",COUNT($M$3:M12),COUNT($N$3:N12)+200)))</f>
        <v/>
      </c>
      <c r="B12" s="303" t="s">
        <v>16</v>
      </c>
      <c r="C12" s="303" t="s">
        <v>526</v>
      </c>
      <c r="D12" s="302">
        <v>404010301</v>
      </c>
      <c r="E12" s="302" t="s">
        <v>83</v>
      </c>
      <c r="F12" s="302" t="s">
        <v>6</v>
      </c>
      <c r="G12" s="304">
        <f>IFERROR(IF($E12="06",VLOOKUP($B12,예산실적비교표!$O$7:$R$200,2,FALSE),0),0)</f>
        <v>0</v>
      </c>
      <c r="H12" s="304">
        <f>IFERROR(IF($E12="06",VLOOKUP($C12,세입예산서!$K$3:$X$205,12,FALSE),0),0)</f>
        <v>0</v>
      </c>
      <c r="I12" s="304">
        <f>IFERROR(IF($E12="07",VLOOKUP($C12,세입예산서!$K$3:$X$205,13,FALSE),0),0)</f>
        <v>0</v>
      </c>
      <c r="J12" s="304">
        <f>IFERROR(IF($E12="05",VLOOKUP($C12,세입예산서!$K$3:$X$205,14,FALSE),0),0)</f>
        <v>0</v>
      </c>
      <c r="K12" s="304" t="str">
        <f t="shared" si="0"/>
        <v/>
      </c>
      <c r="L12" s="305">
        <f>IFERROR(IF($AB$2="",0,ROUNDUP(VLOOKUP($B12,예산실적비교표!$O$7:$R$200,3,FALSE)*$Y$6/($Y$8-(12-$Y$9)),-2)*$Y$8),0)</f>
        <v>0</v>
      </c>
      <c r="M12" s="597" t="str">
        <f>IF($AM$1=TRUE,IF(K12="","",IF(IF($AE$2="",IF(K12="","",SUBTOTAL(2,$K$3:K12)),IF(AND(G12&gt;=0,K12=""),"",IF(AND(G12&gt;0,OR(K12&gt;0,K12&lt;0)),SUBTOTAL(2,$K$3:K12),IF(AND(G12=0,OR(K12&gt;0,K12&lt;0)),SUBTOTAL(2,$K$3:K12)+200,""))))&gt;200,"",1)),IF(K12="","",IF(IF($AE$2="",IF(K12="","",SUBTOTAL(2,$K$3:K12)),IF(AND(G12&gt;=0,K12=""),"",IF(AND(G12&gt;0,OR(K12&gt;0,K12&lt;0)),SUBTOTAL(2,$K$3:K12),IF(AND(G12=0,OR(K12&gt;0,K12&lt;0)),SUBTOTAL(2,$K$3:K12)+200,""))))&gt;200,"",1)))</f>
        <v/>
      </c>
      <c r="N12" s="161" t="str">
        <f>IF($AM$1=TRUE,IF(K12="","",IF(IF($AE$2="",IF(K12="","",SUBTOTAL(2,$K$3:K12)),IF(AND(G12&gt;=0,K12=""),"",IF(AND(G12&gt;0,OR(K12&gt;0,K12&lt;0)),SUBTOTAL(2,$K$3:K12),IF(AND(G12=0,OR(K12&gt;0,K12&lt;0)),SUBTOTAL(2,$K$3:K12)+200,""))))&lt;=200,"",2)),IF(K12="","",IF(IF($AE$2="",IF(K12="","",SUBTOTAL(2,$K$3:K12)),IF(AND(G12&gt;=0,K12=""),"",IF(AND(G12&gt;0,OR(K12&gt;0,K12&lt;0)),SUBTOTAL(2,$K$3:K12),IF(AND(G12=0,OR(K12&gt;0,K12&lt;0)),SUBTOTAL(2,$K$3:K12)+200,""))))&lt;=200,"",2)))</f>
        <v/>
      </c>
      <c r="O12" s="460">
        <f>IF(Q12="",0%,70%)</f>
        <v>0.7</v>
      </c>
      <c r="P12" s="313">
        <f>IF($AB$2=R12,IF(OR($AF$7=0,$AF$7=""),ROUND((($L$3+$L$14)/$Y$8*100%*O12)/(T12*V12),0),$AF$7-Y26-데이터입력!P10-데이터입력!P11),0)</f>
        <v>0</v>
      </c>
      <c r="Q12" s="472">
        <v>0</v>
      </c>
      <c r="R12" s="314" t="s">
        <v>106</v>
      </c>
      <c r="S12" s="315" t="s">
        <v>105</v>
      </c>
      <c r="T12" s="621">
        <f>IF($AH$5=TRUE,IF($Y$1=2025,예산평균!AG30,예산평균!AH30),IF($Y$1=2025,예산평균!AE30,예산평균!AF30))</f>
        <v>63800</v>
      </c>
      <c r="U12" s="309">
        <f t="shared" si="1"/>
        <v>0</v>
      </c>
      <c r="V12" s="479">
        <f>V10</f>
        <v>30.4</v>
      </c>
      <c r="X12" s="325" t="s">
        <v>159</v>
      </c>
      <c r="Y12" s="1478">
        <f>IFERROR(ROUNDDOWN(Y14/Y13,3),)</f>
        <v>0</v>
      </c>
      <c r="Z12" s="1479"/>
      <c r="AA12" s="553" t="s">
        <v>160</v>
      </c>
      <c r="AB12" s="1164">
        <f>IF($AE$2="",IF($Y$1=2026,예산평균!AE3,예산평균!AD3),예산평균!AD3)</f>
        <v>4.7500000000000001E-2</v>
      </c>
      <c r="AC12" s="297" t="s">
        <v>688</v>
      </c>
      <c r="AD12" s="794">
        <f>IF($AE$2="",IF($Y$1=2026,예산평균!AE6,예산평균!AD6),예산평균!AD6)</f>
        <v>8.9999999999999993E-3</v>
      </c>
      <c r="AE12" s="799">
        <f>IF(OR(예산실적비교표!A15=0,예산실적비교표!A15=""),100%,예산실적비교표!A15)</f>
        <v>1</v>
      </c>
      <c r="AF12" s="800">
        <f>IF(OR(예산실적비교표!B15=0,예산실적비교표!B15=""),100%,예산실적비교표!B15)</f>
        <v>1</v>
      </c>
      <c r="AH12" s="322" t="s">
        <v>225</v>
      </c>
      <c r="AI12" s="1465" t="s">
        <v>226</v>
      </c>
      <c r="AJ12" s="1466"/>
      <c r="AL12" s="897" t="s">
        <v>225</v>
      </c>
      <c r="AM12" s="1432" t="s">
        <v>239</v>
      </c>
      <c r="AN12" s="1433" t="s">
        <v>239</v>
      </c>
      <c r="AP12" s="981" t="str">
        <f>IF(예산실적비교표!AL12&lt;&gt;"",예산실적비교표!AL12,"")</f>
        <v>김미경</v>
      </c>
      <c r="AQ12" s="982" t="str">
        <f>IF(예산실적비교표!AM12&lt;&gt;"",예산실적비교표!AM12,"")</f>
        <v>사무원</v>
      </c>
      <c r="AR12" s="983">
        <v>1020000</v>
      </c>
      <c r="AS12" s="984">
        <f>IF(예산실적비교표!AO12&lt;&gt;"",예산실적비교표!AO12,0)</f>
        <v>0</v>
      </c>
      <c r="AT12" s="971">
        <f t="shared" si="2"/>
        <v>1051000</v>
      </c>
      <c r="AU12" s="985">
        <f>IF(예산실적비교표!AQ12&lt;&gt;"",예산실적비교표!AQ12,0)</f>
        <v>0</v>
      </c>
      <c r="AV12" s="973">
        <f t="shared" ref="AV12:AV60" si="5">IF(BB12="",0,BB12)</f>
        <v>0</v>
      </c>
      <c r="AW12" s="974">
        <f>IF(AR12="","",ROUND((AT12*$AT$7)*데이터입력!$AE$14+(AT12*$AU$7)*데이터입력!$AE$14+(AT12*$AU$7*$AV$7)*데이터입력!$AE$14+(AT12*$AW$7)*데이터입력!$AE$14+(AT12*$AX$7)*데이터입력!$AE$14,-1))</f>
        <v>113270</v>
      </c>
      <c r="AX12" s="975">
        <f t="shared" ref="AX12:AX60" si="6">IF(SUM(AT12:AW12)=0,0,SUM(AT12:AW12))</f>
        <v>1164270</v>
      </c>
      <c r="AY12" s="976">
        <f>IFERROR(IF($AE$2=TRUE,IF(AR12+AS12=0,0,AR12+AS12),ROUND(IF(데이터입력!$AE$14=100%,ROUND(AR12*$AR$1,-3),ROUND(AR12*$AR$1,-3)-ROUND(((AR12*$AR$1)*$AT$4)*(데이터입력!$AE$14-100%)+((AR12*$AR$1)*$AU$4)*(데이터입력!$AE$14-100%)+((AR12*$AR$1)*$AU$4*$AV$4)*(데이터입력!$AE$14-100%)+((AR12*$AR$1)*$AW$4)*(데이터입력!$AE$14-100%),-1)),0)),0)</f>
        <v>1051000</v>
      </c>
      <c r="AZ12" s="977">
        <f>IFERROR(IF(AR12+AS12=0,0,IF(데이터입력!$AE$12=100%,(AT12),(AT12)+ROUND(AT12*(데이터입력!$AE$12-100%),-1))),0)</f>
        <v>1051000</v>
      </c>
      <c r="BA12" s="1095" t="str">
        <f>IFERROR(IF(AZ12=0,"",IF(AND(예산실적비교표!AP12&gt;0,예산실적비교표!AW12=0),"",ROUND(AZ12/12,0))),0)</f>
        <v/>
      </c>
      <c r="BB12" s="1096" t="str">
        <f>IF(BA12="","",IF(데이터입력!$O$71="",ROUND(AZ12/12,0),ROUND(데이터입력!$O$71/데이터입력!$Y$8/$BC$11,0)))</f>
        <v/>
      </c>
      <c r="BC12" s="988" t="s">
        <v>640</v>
      </c>
      <c r="BD12" s="989" t="s">
        <v>128</v>
      </c>
      <c r="BE12" s="989" t="s">
        <v>638</v>
      </c>
      <c r="BF12" s="990" t="s">
        <v>639</v>
      </c>
    </row>
    <row r="13" spans="1:58">
      <c r="A13" s="901" t="str">
        <f>IF($AM$1=TRUE,IF(K13="","",SUBTOTAL(2,$K$3:K13)),IF(AND(M13="",N13=""),"",IF(N13="",COUNT($M$3:M13),COUNT($N$3:N13)+200)))</f>
        <v/>
      </c>
      <c r="B13" s="303" t="s">
        <v>17</v>
      </c>
      <c r="C13" s="303" t="s">
        <v>527</v>
      </c>
      <c r="D13" s="302">
        <v>404010401</v>
      </c>
      <c r="E13" s="302" t="s">
        <v>83</v>
      </c>
      <c r="F13" s="302" t="s">
        <v>6</v>
      </c>
      <c r="G13" s="304">
        <f>IFERROR(IF($E13="06",VLOOKUP($B13,예산실적비교표!$O$7:$R$200,2,FALSE),0),0)</f>
        <v>0</v>
      </c>
      <c r="H13" s="304">
        <f>IFERROR(IF($E13="06",VLOOKUP($C13,세입예산서!$K$3:$X$205,12,FALSE),0),0)</f>
        <v>0</v>
      </c>
      <c r="I13" s="304">
        <f>IFERROR(IF($E13="07",VLOOKUP($C13,세입예산서!$K$3:$X$205,13,FALSE),0),0)</f>
        <v>0</v>
      </c>
      <c r="J13" s="304">
        <f>IFERROR(IF($E13="05",VLOOKUP($C13,세입예산서!$K$3:$X$205,14,FALSE),0),0)</f>
        <v>0</v>
      </c>
      <c r="K13" s="304" t="str">
        <f t="shared" si="0"/>
        <v/>
      </c>
      <c r="L13" s="305">
        <f>IFERROR(IF($AB$2="",0,ROUNDUP(VLOOKUP($B13,예산실적비교표!$O$7:$R$200,3,FALSE)*$Y$6/($Y$8-(12-$Y$9)),-2)*$Y$8),0)</f>
        <v>0</v>
      </c>
      <c r="M13" s="597" t="str">
        <f>IF($AM$1=TRUE,IF(K13="","",IF(IF($AE$2="",IF(K13="","",SUBTOTAL(2,$K$3:K13)),IF(AND(G13&gt;=0,K13=""),"",IF(AND(G13&gt;0,OR(K13&gt;0,K13&lt;0)),SUBTOTAL(2,$K$3:K13),IF(AND(G13=0,OR(K13&gt;0,K13&lt;0)),SUBTOTAL(2,$K$3:K13)+200,""))))&gt;200,"",1)),IF(K13="","",IF(IF($AE$2="",IF(K13="","",SUBTOTAL(2,$K$3:K13)),IF(AND(G13&gt;=0,K13=""),"",IF(AND(G13&gt;0,OR(K13&gt;0,K13&lt;0)),SUBTOTAL(2,$K$3:K13),IF(AND(G13=0,OR(K13&gt;0,K13&lt;0)),SUBTOTAL(2,$K$3:K13)+200,""))))&gt;200,"",1)))</f>
        <v/>
      </c>
      <c r="N13" s="161" t="str">
        <f>IF($AM$1=TRUE,IF(K13="","",IF(IF($AE$2="",IF(K13="","",SUBTOTAL(2,$K$3:K13)),IF(AND(G13&gt;=0,K13=""),"",IF(AND(G13&gt;0,OR(K13&gt;0,K13&lt;0)),SUBTOTAL(2,$K$3:K13),IF(AND(G13=0,OR(K13&gt;0,K13&lt;0)),SUBTOTAL(2,$K$3:K13)+200,""))))&lt;=200,"",2)),IF(K13="","",IF(IF($AE$2="",IF(K13="","",SUBTOTAL(2,$K$3:K13)),IF(AND(G13&gt;=0,K13=""),"",IF(AND(G13&gt;0,OR(K13&gt;0,K13&lt;0)),SUBTOTAL(2,$K$3:K13),IF(AND(G13=0,OR(K13&gt;0,K13&lt;0)),SUBTOTAL(2,$K$3:K13)+200,""))))&lt;=200,"",2)))</f>
        <v/>
      </c>
      <c r="O13" s="460">
        <v>0</v>
      </c>
      <c r="P13" s="313">
        <f>IF(AND($AB$2=R13,($L$3+$L$14)=0),ROUND(($AF$7-$Y$26)*O13,0),IF($AB$2=R13,IF(OR(예산실적비교표!E9=0,예산실적비교표!E9=""),ROUND((($L$3+$L$14)/$Y$8*100%*O13)/(T13*V13),0),예산실적비교표!E9),0))</f>
        <v>0</v>
      </c>
      <c r="Q13" s="472">
        <v>0</v>
      </c>
      <c r="R13" s="314" t="s">
        <v>108</v>
      </c>
      <c r="S13" s="315" t="s">
        <v>107</v>
      </c>
      <c r="T13" s="621">
        <f>IF($AH$5=TRUE,IF($Y$1=2025,예산평균!AG31,예산평균!AH31),IF($Y$1=2025,예산평균!AE31,예산평균!AF31))</f>
        <v>69730</v>
      </c>
      <c r="U13" s="309">
        <f t="shared" si="1"/>
        <v>0</v>
      </c>
      <c r="V13" s="1284">
        <f>IF(OR(예산실적비교표!F8=0,예산실적비교표!F8=""),21,예산실적비교표!F8)</f>
        <v>21</v>
      </c>
      <c r="X13" s="319" t="s">
        <v>161</v>
      </c>
      <c r="Y13" s="1467">
        <f>세입예산서!$V$5+세입예산서!$V$92+세입예산서!$V$117</f>
        <v>1475556000</v>
      </c>
      <c r="Z13" s="1468"/>
      <c r="AA13" s="554" t="s">
        <v>162</v>
      </c>
      <c r="AB13" s="1195">
        <f>IF($AE$2="",IF($Y$1=2026,예산평균!AE4,예산평균!AD4),예산평균!AD4)</f>
        <v>3.5950000000000003E-2</v>
      </c>
      <c r="AC13" s="326" t="s">
        <v>689</v>
      </c>
      <c r="AD13" s="795">
        <f>IF($AE$2="",IF($Y$1=2026,예산평균!AE7,예산평균!AD7),예산평균!AD7)</f>
        <v>1.15E-2</v>
      </c>
      <c r="AE13" s="797" t="str">
        <f>IFERROR("간접4대비율("&amp;ROUND(L51/H51*100,0)&amp;"%)","간접4대비율")</f>
        <v>간접4대비율</v>
      </c>
      <c r="AF13" s="798" t="str">
        <f>IFERROR("직접4대비율("&amp;ROUND(L50/H50*100,0)&amp;"%)","직접4대비율")</f>
        <v>직접4대비율</v>
      </c>
      <c r="AH13" s="322" t="s">
        <v>227</v>
      </c>
      <c r="AI13" s="1465" t="s">
        <v>228</v>
      </c>
      <c r="AJ13" s="1466"/>
      <c r="AL13" s="897" t="s">
        <v>227</v>
      </c>
      <c r="AM13" s="1432" t="s">
        <v>240</v>
      </c>
      <c r="AN13" s="1433" t="s">
        <v>240</v>
      </c>
      <c r="AP13" s="981" t="str">
        <f>IF(예산실적비교표!AL13&lt;&gt;"",예산실적비교표!AL13,"")</f>
        <v/>
      </c>
      <c r="AQ13" s="982" t="str">
        <f>IF(예산실적비교표!AM13&lt;&gt;"",예산실적비교표!AM13,"")</f>
        <v/>
      </c>
      <c r="AR13" s="983">
        <f>IF(AND(예산실적비교표!AN13&lt;&gt;"",예산실적비교표!AN13&gt;1),예산실적비교표!AN13,0)</f>
        <v>0</v>
      </c>
      <c r="AS13" s="984">
        <f>IF(예산실적비교표!AO13&lt;&gt;"",예산실적비교표!AO13,0)</f>
        <v>0</v>
      </c>
      <c r="AT13" s="971">
        <f t="shared" si="2"/>
        <v>0</v>
      </c>
      <c r="AU13" s="985">
        <f>IF(예산실적비교표!AQ13&lt;&gt;"",예산실적비교표!AQ13,0)</f>
        <v>0</v>
      </c>
      <c r="AV13" s="973">
        <f t="shared" si="5"/>
        <v>0</v>
      </c>
      <c r="AW13" s="974">
        <f>IF(AR13="","",ROUND((AT13*$AT$7)*데이터입력!$AE$14+(AT13*$AU$7)*데이터입력!$AE$14+(AT13*$AU$7*$AV$7)*데이터입력!$AE$14+(AT13*$AW$7)*데이터입력!$AE$14+(AT13*$AX$7)*데이터입력!$AE$14,-1))</f>
        <v>0</v>
      </c>
      <c r="AX13" s="975">
        <f t="shared" si="6"/>
        <v>0</v>
      </c>
      <c r="AY13" s="976">
        <f>IFERROR(IF($AE$2=TRUE,IF(AR13+AS13=0,0,AR13+AS13),ROUND(IF(데이터입력!$AE$14=100%,ROUND(AR13*$AR$1,-3),ROUND(AR13*$AR$1,-3)-ROUND(((AR13*$AR$1)*$AT$4)*(데이터입력!$AE$14-100%)+((AR13*$AR$1)*$AU$4)*(데이터입력!$AE$14-100%)+((AR13*$AR$1)*$AU$4*$AV$4)*(데이터입력!$AE$14-100%)+((AR13*$AR$1)*$AW$4)*(데이터입력!$AE$14-100%),-1)),0)),0)</f>
        <v>0</v>
      </c>
      <c r="AZ13" s="977">
        <f>IFERROR(IF(AR13+AS13=0,0,IF(데이터입력!$AE$12=100%,(AT13),(AT13)+ROUND(AT13*(데이터입력!$AE$12-100%),-1))),0)</f>
        <v>0</v>
      </c>
      <c r="BA13" s="1095" t="str">
        <f>IFERROR(IF(AZ13=0,"",IF(AND(예산실적비교표!AP13&gt;0,예산실적비교표!AW13=0),"",ROUND(AZ13/12,0))),0)</f>
        <v/>
      </c>
      <c r="BB13" s="1096" t="str">
        <f>IF(BA13="","",IF(데이터입력!$O$71="",ROUND(AZ13/12,0),ROUND(데이터입력!$O$71/데이터입력!$Y$8/$BC$11,0)))</f>
        <v/>
      </c>
      <c r="BC13" s="991" t="str">
        <f>데이터입력!$B$42</f>
        <v>급여(직접비)</v>
      </c>
      <c r="BD13" s="992" t="e">
        <f>#REF!</f>
        <v>#REF!</v>
      </c>
      <c r="BE13" s="992">
        <f>IFERROR(IF(데이터입력!$L$42=0,ROUNDUP($AR$6*VLOOKUP(데이터입력!$AB$2,데이터입력!$AH$17:$AI$23,2,FALSE),0)-SUM(#REF!),데이터입력!$L$42),0)</f>
        <v>747532800</v>
      </c>
      <c r="BF13" s="993" t="e">
        <f>IF((BE13-BD13)&lt;=0,0,BE13-BD13)</f>
        <v>#REF!</v>
      </c>
    </row>
    <row r="14" spans="1:58" ht="23.25" thickBot="1">
      <c r="A14" s="901">
        <f>IF($AM$1=TRUE,IF(K14="","",SUBTOTAL(2,$K$3:K14)),IF(AND(M14="",N14=""),"",IF(N14="",COUNT($M$3:M14),COUNT($N$3:N14)+200)))</f>
        <v>4</v>
      </c>
      <c r="B14" s="303" t="s">
        <v>21</v>
      </c>
      <c r="C14" s="303" t="s">
        <v>500</v>
      </c>
      <c r="D14" s="302">
        <v>406010101</v>
      </c>
      <c r="E14" s="302" t="s">
        <v>83</v>
      </c>
      <c r="F14" s="302" t="s">
        <v>6</v>
      </c>
      <c r="G14" s="304">
        <f>IFERROR(IF($E14="06",VLOOKUP($B14,예산실적비교표!$O$7:$R$200,2,FALSE),0),0)</f>
        <v>1134036000</v>
      </c>
      <c r="H14" s="304">
        <f>IFERROR(IF($E14="06",VLOOKUP($C14,세입예산서!$K$3:$X$205,12,FALSE),0),0)</f>
        <v>1193796000</v>
      </c>
      <c r="I14" s="304">
        <f>IFERROR(IF($E14="07",VLOOKUP($C14,세입예산서!$K$3:$X$205,13,FALSE),0),0)</f>
        <v>0</v>
      </c>
      <c r="J14" s="304">
        <f>IFERROR(IF($E14="05",VLOOKUP($C14,세입예산서!$K$3:$X$205,14,FALSE),0),0)</f>
        <v>0</v>
      </c>
      <c r="K14" s="304">
        <f t="shared" si="0"/>
        <v>59760000</v>
      </c>
      <c r="L14" s="305">
        <f>IFERROR(IF($AB$2="",0,ROUNDUP(VLOOKUP($B14,예산실적비교표!$O$7:$R$200,3,FALSE)/($Y$8-(12-$Y$9)),-2)*$Y$8),0)</f>
        <v>1134036000</v>
      </c>
      <c r="M14" s="597">
        <f>IF($AM$1=TRUE,IF(K14="","",IF(IF($AE$2="",IF(K14="","",SUBTOTAL(2,$K$3:K14)),IF(AND(G14&gt;=0,K14=""),"",IF(AND(G14&gt;0,OR(K14&gt;0,K14&lt;0)),SUBTOTAL(2,$K$3:K14),IF(AND(G14=0,OR(K14&gt;0,K14&lt;0)),SUBTOTAL(2,$K$3:K14)+200,""))))&gt;200,"",1)),IF(K14="","",IF(IF($AE$2="",IF(K14="","",SUBTOTAL(2,$K$3:K14)),IF(AND(G14&gt;=0,K14=""),"",IF(AND(G14&gt;0,OR(K14&gt;0,K14&lt;0)),SUBTOTAL(2,$K$3:K14),IF(AND(G14=0,OR(K14&gt;0,K14&lt;0)),SUBTOTAL(2,$K$3:K14)+200,""))))&gt;200,"",1)))</f>
        <v>1</v>
      </c>
      <c r="N14" s="161" t="str">
        <f>IF($AM$1=TRUE,IF(K14="","",IF(IF($AE$2="",IF(K14="","",SUBTOTAL(2,$K$3:K14)),IF(AND(G14&gt;=0,K14=""),"",IF(AND(G14&gt;0,OR(K14&gt;0,K14&lt;0)),SUBTOTAL(2,$K$3:K14),IF(AND(G14=0,OR(K14&gt;0,K14&lt;0)),SUBTOTAL(2,$K$3:K14)+200,""))))&lt;=200,"",2)),IF(K14="","",IF(IF($AE$2="",IF(K14="","",SUBTOTAL(2,$K$3:K14)),IF(AND(G14&gt;=0,K14=""),"",IF(AND(G14&gt;0,OR(K14&gt;0,K14&lt;0)),SUBTOTAL(2,$K$3:K14),IF(AND(G14=0,OR(K14&gt;0,K14&lt;0)),SUBTOTAL(2,$K$3:K14)+200,""))))&lt;=200,"",2)))</f>
        <v/>
      </c>
      <c r="O14" s="460">
        <v>0</v>
      </c>
      <c r="P14" s="313">
        <f>IF(AND($AB$2=R14,($L$3+$L$14)=0),ROUND(($AF$7-$Y$26)*O14,0),IF($AB$2=R14,IF(OR(예산실적비교표!E10=0,예산실적비교표!E10=""),ROUND((($L$3+$L$14)/$Y$8*100%*O14)/(T14*V14),0),예산실적비교표!E10),0))</f>
        <v>0</v>
      </c>
      <c r="Q14" s="472">
        <v>0</v>
      </c>
      <c r="R14" s="314" t="s">
        <v>108</v>
      </c>
      <c r="S14" s="315" t="s">
        <v>104</v>
      </c>
      <c r="T14" s="621">
        <f>IF($AH$5=TRUE,IF($Y$1=2025,예산평균!AG32,예산평균!AH32),IF($Y$1=2025,예산평균!AE32,예산평균!AF32))</f>
        <v>64590</v>
      </c>
      <c r="U14" s="309">
        <f t="shared" si="1"/>
        <v>0</v>
      </c>
      <c r="V14" s="479">
        <f>V13</f>
        <v>21</v>
      </c>
      <c r="X14" s="327" t="s">
        <v>163</v>
      </c>
      <c r="Y14" s="1494" t="e">
        <f>세출예산서!V6+세출예산서!W6+세출예산서!X6</f>
        <v>#REF!</v>
      </c>
      <c r="Z14" s="1495"/>
      <c r="AA14" s="555" t="s">
        <v>164</v>
      </c>
      <c r="AB14" s="1165">
        <f>IF($AE$2="",IF($Y$1=2026,예산평균!AE5,예산평균!AD5),예산평균!AD5)</f>
        <v>0.13139999999999999</v>
      </c>
      <c r="AC14" s="793" t="s">
        <v>165</v>
      </c>
      <c r="AD14" s="796">
        <f>IF($AE$2="",IF($Y$1=2026,예산평균!AE8,예산평균!AD8),예산평균!AD8)</f>
        <v>8.0999999999999996E-3</v>
      </c>
      <c r="AE14" s="799">
        <f>IF(OR(예산실적비교표!A17=0,예산실적비교표!A17=""),100%,예산실적비교표!A17)</f>
        <v>1</v>
      </c>
      <c r="AF14" s="800">
        <v>1.3</v>
      </c>
      <c r="AH14" s="322" t="s">
        <v>123</v>
      </c>
      <c r="AI14" s="1465" t="s">
        <v>229</v>
      </c>
      <c r="AJ14" s="1466"/>
      <c r="AL14" s="897" t="s">
        <v>123</v>
      </c>
      <c r="AM14" s="1432" t="s">
        <v>241</v>
      </c>
      <c r="AN14" s="1433" t="s">
        <v>241</v>
      </c>
      <c r="AP14" s="981" t="str">
        <f>IF(예산실적비교표!AL14&lt;&gt;"",예산실적비교표!AL14,"")</f>
        <v/>
      </c>
      <c r="AQ14" s="982" t="str">
        <f>IF(예산실적비교표!AM14&lt;&gt;"",예산실적비교표!AM14,"")</f>
        <v/>
      </c>
      <c r="AR14" s="983">
        <f>IF(AND(예산실적비교표!AN14&lt;&gt;"",예산실적비교표!AN14&gt;1),예산실적비교표!AN14,0)</f>
        <v>0</v>
      </c>
      <c r="AS14" s="984">
        <f>IF(예산실적비교표!AO14&lt;&gt;"",예산실적비교표!AO14,0)</f>
        <v>0</v>
      </c>
      <c r="AT14" s="971">
        <f t="shared" si="2"/>
        <v>0</v>
      </c>
      <c r="AU14" s="985">
        <f>IF(예산실적비교표!AQ14&lt;&gt;"",예산실적비교표!AQ14,0)</f>
        <v>0</v>
      </c>
      <c r="AV14" s="973">
        <f t="shared" si="5"/>
        <v>0</v>
      </c>
      <c r="AW14" s="974">
        <f>IF(AR14="","",ROUND((AT14*$AT$7)*데이터입력!$AE$14+(AT14*$AU$7)*데이터입력!$AE$14+(AT14*$AU$7*$AV$7)*데이터입력!$AE$14+(AT14*$AW$7)*데이터입력!$AE$14+(AT14*$AX$7)*데이터입력!$AE$14,-1))</f>
        <v>0</v>
      </c>
      <c r="AX14" s="975">
        <f t="shared" si="6"/>
        <v>0</v>
      </c>
      <c r="AY14" s="976">
        <f>IFERROR(IF($AE$2=TRUE,IF(AR14+AS14=0,0,AR14+AS14),ROUND(IF(데이터입력!$AE$14=100%,ROUND(AR14*$AR$1,-3),ROUND(AR14*$AR$1,-3)-ROUND(((AR14*$AR$1)*$AT$4)*(데이터입력!$AE$14-100%)+((AR14*$AR$1)*$AU$4)*(데이터입력!$AE$14-100%)+((AR14*$AR$1)*$AU$4*$AV$4)*(데이터입력!$AE$14-100%)+((AR14*$AR$1)*$AW$4)*(데이터입력!$AE$14-100%),-1)),0)),0)</f>
        <v>0</v>
      </c>
      <c r="AZ14" s="977">
        <f>IFERROR(IF(AR14+AS14=0,0,IF(데이터입력!$AE$12=100%,(AT14),(AT14)+ROUND(AT14*(데이터입력!$AE$12-100%),-1))),0)</f>
        <v>0</v>
      </c>
      <c r="BA14" s="1095" t="str">
        <f>IFERROR(IF(AZ14=0,"",IF(AND(예산실적비교표!AP14&gt;0,예산실적비교표!AW14=0),"",ROUND(AZ14/12,0))),0)</f>
        <v/>
      </c>
      <c r="BB14" s="1096" t="str">
        <f>IF(BA14="","",IF(데이터입력!$O$71="",ROUND(AZ14/12,0),ROUND(데이터입력!$O$71/데이터입력!$Y$8/$BC$11,0)))</f>
        <v/>
      </c>
      <c r="BC14" s="991" t="str">
        <f>데이터입력!$B$43</f>
        <v>급여(간접비)</v>
      </c>
      <c r="BD14" s="992" t="e">
        <f>#REF!</f>
        <v>#REF!</v>
      </c>
      <c r="BE14" s="992">
        <f>데이터입력!$L$43</f>
        <v>82800000</v>
      </c>
      <c r="BF14" s="993" t="e">
        <f t="shared" ref="BF14:BF20" si="7">IF((BE14-BD14)&lt;=0,0,BE14-BD14)</f>
        <v>#REF!</v>
      </c>
    </row>
    <row r="15" spans="1:58" ht="23.25" thickBot="1">
      <c r="A15" s="901" t="str">
        <f>IF($AM$1=TRUE,IF(K15="","",SUBTOTAL(2,$K$3:K15)),IF(AND(M15="",N15=""),"",IF(N15="",COUNT($M$3:M15),COUNT($N$3:N15)+200)))</f>
        <v/>
      </c>
      <c r="B15" s="303" t="s">
        <v>22</v>
      </c>
      <c r="C15" s="303" t="s">
        <v>501</v>
      </c>
      <c r="D15" s="302">
        <v>406010102</v>
      </c>
      <c r="E15" s="302" t="s">
        <v>83</v>
      </c>
      <c r="F15" s="302" t="s">
        <v>6</v>
      </c>
      <c r="G15" s="304">
        <f>IFERROR(IF($E15="06",VLOOKUP($B15,예산실적비교표!$O$7:$R$200,2,FALSE),0),0)</f>
        <v>0</v>
      </c>
      <c r="H15" s="304">
        <f>IFERROR(IF($E15="06",VLOOKUP($C15,세입예산서!$K$3:$X$205,12,FALSE),0),0)</f>
        <v>0</v>
      </c>
      <c r="I15" s="304">
        <f>IFERROR(IF($E15="07",VLOOKUP($C15,세입예산서!$K$3:$X$205,13,FALSE),0),0)</f>
        <v>0</v>
      </c>
      <c r="J15" s="304">
        <f>IFERROR(IF($E15="05",VLOOKUP($C15,세입예산서!$K$3:$X$205,14,FALSE),0),0)</f>
        <v>0</v>
      </c>
      <c r="K15" s="304" t="str">
        <f t="shared" si="0"/>
        <v/>
      </c>
      <c r="L15" s="305">
        <f>IFERROR(IF($AB$2="",0,ROUNDUP(VLOOKUP($B15,예산실적비교표!$O$7:$R$200,3,FALSE)/($Y$8-(12-$Y$9)),-2)*$Y$8),0)</f>
        <v>0</v>
      </c>
      <c r="M15" s="597" t="str">
        <f>IF($AM$1=TRUE,IF(K15="","",IF(IF($AE$2="",IF(K15="","",SUBTOTAL(2,$K$3:K15)),IF(AND(G15&gt;=0,K15=""),"",IF(AND(G15&gt;0,OR(K15&gt;0,K15&lt;0)),SUBTOTAL(2,$K$3:K15),IF(AND(G15=0,OR(K15&gt;0,K15&lt;0)),SUBTOTAL(2,$K$3:K15)+200,""))))&gt;200,"",1)),IF(K15="","",IF(IF($AE$2="",IF(K15="","",SUBTOTAL(2,$K$3:K15)),IF(AND(G15&gt;=0,K15=""),"",IF(AND(G15&gt;0,OR(K15&gt;0,K15&lt;0)),SUBTOTAL(2,$K$3:K15),IF(AND(G15=0,OR(K15&gt;0,K15&lt;0)),SUBTOTAL(2,$K$3:K15)+200,""))))&gt;200,"",1)))</f>
        <v/>
      </c>
      <c r="N15" s="161" t="str">
        <f>IF($AM$1=TRUE,IF(K15="","",IF(IF($AE$2="",IF(K15="","",SUBTOTAL(2,$K$3:K15)),IF(AND(G15&gt;=0,K15=""),"",IF(AND(G15&gt;0,OR(K15&gt;0,K15&lt;0)),SUBTOTAL(2,$K$3:K15),IF(AND(G15=0,OR(K15&gt;0,K15&lt;0)),SUBTOTAL(2,$K$3:K15)+200,""))))&lt;=200,"",2)),IF(K15="","",IF(IF($AE$2="",IF(K15="","",SUBTOTAL(2,$K$3:K15)),IF(AND(G15&gt;=0,K15=""),"",IF(AND(G15&gt;0,OR(K15&gt;0,K15&lt;0)),SUBTOTAL(2,$K$3:K15),IF(AND(G15=0,OR(K15&gt;0,K15&lt;0)),SUBTOTAL(2,$K$3:K15)+200,""))))&lt;=200,"",2)))</f>
        <v/>
      </c>
      <c r="O15" s="460">
        <f>IF(Q15="",0%,10%)</f>
        <v>0.1</v>
      </c>
      <c r="P15" s="313">
        <f>IF(AND($AB$2=R15,($L$3+$L$14)=0),ROUND(($AF$7-$Y$26)*O15,0),IF($AB$2=R15,IF(OR(예산실적비교표!E11=0,예산실적비교표!E11=""),ROUND((($L$3+$L$14)/$Y$8*100%*O15)/(T15*V15),0),예산실적비교표!E11),0))</f>
        <v>0</v>
      </c>
      <c r="Q15" s="472">
        <v>0</v>
      </c>
      <c r="R15" s="314" t="s">
        <v>108</v>
      </c>
      <c r="S15" s="315" t="s">
        <v>109</v>
      </c>
      <c r="T15" s="621">
        <f>IF($AH$5=TRUE,IF($Y$1=2025,예산평균!AG33,예산평균!AH33),IF($Y$1=2025,예산평균!AE33,예산평균!AF33))</f>
        <v>59640</v>
      </c>
      <c r="U15" s="309">
        <f t="shared" si="1"/>
        <v>0</v>
      </c>
      <c r="V15" s="479">
        <f>V13</f>
        <v>21</v>
      </c>
      <c r="X15" s="1469" t="s">
        <v>80</v>
      </c>
      <c r="Y15" s="1470"/>
      <c r="Z15" s="1471"/>
      <c r="AA15" s="1472" t="s">
        <v>99</v>
      </c>
      <c r="AB15" s="1473"/>
      <c r="AC15" s="1474"/>
      <c r="AD15" s="1475" t="s">
        <v>125</v>
      </c>
      <c r="AE15" s="1476"/>
      <c r="AF15" s="1477"/>
      <c r="AH15" s="160"/>
      <c r="AI15" s="1465"/>
      <c r="AJ15" s="1466"/>
      <c r="AL15" s="4"/>
      <c r="AM15" s="1465"/>
      <c r="AN15" s="1466"/>
      <c r="AP15" s="981" t="str">
        <f>IF(예산실적비교표!AL15&lt;&gt;"",예산실적비교표!AL15,"")</f>
        <v/>
      </c>
      <c r="AQ15" s="982" t="str">
        <f>IF(예산실적비교표!AM15&lt;&gt;"",예산실적비교표!AM15,"")</f>
        <v/>
      </c>
      <c r="AR15" s="983">
        <f>IF(AND(예산실적비교표!AN15&lt;&gt;"",예산실적비교표!AN15&gt;1),예산실적비교표!AN15,0)</f>
        <v>0</v>
      </c>
      <c r="AS15" s="984">
        <f>IF(예산실적비교표!AO15&lt;&gt;"",예산실적비교표!AO15,0)</f>
        <v>0</v>
      </c>
      <c r="AT15" s="971">
        <f t="shared" si="2"/>
        <v>0</v>
      </c>
      <c r="AU15" s="985">
        <f>IF(예산실적비교표!AQ15&lt;&gt;"",예산실적비교표!AQ15,0)</f>
        <v>0</v>
      </c>
      <c r="AV15" s="973">
        <f t="shared" si="5"/>
        <v>0</v>
      </c>
      <c r="AW15" s="974">
        <f>IF(AR15="","",ROUND((AT15*$AT$7)*데이터입력!$AE$14+(AT15*$AU$7)*데이터입력!$AE$14+(AT15*$AU$7*$AV$7)*데이터입력!$AE$14+(AT15*$AW$7)*데이터입력!$AE$14+(AT15*$AX$7)*데이터입력!$AE$14,-1))</f>
        <v>0</v>
      </c>
      <c r="AX15" s="975">
        <f t="shared" si="6"/>
        <v>0</v>
      </c>
      <c r="AY15" s="976">
        <f>IFERROR(IF($AE$2=TRUE,IF(AR15+AS15=0,0,AR15+AS15),ROUND(IF(데이터입력!$AE$14=100%,ROUND(AR15*$AR$1,-3),ROUND(AR15*$AR$1,-3)-ROUND(((AR15*$AR$1)*$AT$4)*(데이터입력!$AE$14-100%)+((AR15*$AR$1)*$AU$4)*(데이터입력!$AE$14-100%)+((AR15*$AR$1)*$AU$4*$AV$4)*(데이터입력!$AE$14-100%)+((AR15*$AR$1)*$AW$4)*(데이터입력!$AE$14-100%),-1)),0)),0)</f>
        <v>0</v>
      </c>
      <c r="AZ15" s="977">
        <f>IFERROR(IF(AR15+AS15=0,0,IF(데이터입력!$AE$12=100%,(AT15),(AT15)+ROUND(AT15*(데이터입력!$AE$12-100%),-1))),0)</f>
        <v>0</v>
      </c>
      <c r="BA15" s="1095" t="str">
        <f>IFERROR(IF(AZ15=0,"",IF(AND(예산실적비교표!AP15&gt;0,예산실적비교표!AW15=0),"",ROUND(AZ15/12,0))),0)</f>
        <v/>
      </c>
      <c r="BB15" s="1096" t="str">
        <f>IF(BA15="","",IF(데이터입력!$O$71="",ROUND(AZ15/12,0),ROUND(데이터입력!$O$71/데이터입력!$Y$8/$BC$11,0)))</f>
        <v/>
      </c>
      <c r="BC15" s="991" t="str">
        <f>데이터입력!$B$44</f>
        <v>각종수당(직접비)</v>
      </c>
      <c r="BD15" s="992" t="e">
        <f>#REF!</f>
        <v>#REF!</v>
      </c>
      <c r="BE15" s="992">
        <f>데이터입력!$L$44</f>
        <v>0</v>
      </c>
      <c r="BF15" s="993" t="e">
        <f t="shared" si="7"/>
        <v>#REF!</v>
      </c>
    </row>
    <row r="16" spans="1:58" ht="23.25" thickBot="1">
      <c r="A16" s="901">
        <f>IF($AM$1=TRUE,IF(K16="","",SUBTOTAL(2,$K$3:K16)),IF(AND(M16="",N16=""),"",IF(N16="",COUNT($M$3:M16),COUNT($N$3:N16)+200)))</f>
        <v>5</v>
      </c>
      <c r="B16" s="303" t="s">
        <v>23</v>
      </c>
      <c r="C16" s="303" t="s">
        <v>502</v>
      </c>
      <c r="D16" s="302">
        <v>406010201</v>
      </c>
      <c r="E16" s="302" t="s">
        <v>83</v>
      </c>
      <c r="F16" s="302" t="s">
        <v>6</v>
      </c>
      <c r="G16" s="304">
        <f>IFERROR(IF($E16="06",VLOOKUP($B16,예산실적비교표!$O$7:$R$200,2,FALSE),0),0)</f>
        <v>72000000</v>
      </c>
      <c r="H16" s="304">
        <f>IFERROR(IF($E16="06",VLOOKUP($C16,세입예산서!$K$3:$X$205,12,FALSE),0),0)</f>
        <v>79200000</v>
      </c>
      <c r="I16" s="304">
        <f>IFERROR(IF($E16="07",VLOOKUP($C16,세입예산서!$K$3:$X$205,13,FALSE),0),0)</f>
        <v>0</v>
      </c>
      <c r="J16" s="304">
        <f>IFERROR(IF($E16="05",VLOOKUP($C16,세입예산서!$K$3:$X$205,14,FALSE),0),0)</f>
        <v>0</v>
      </c>
      <c r="K16" s="304">
        <f t="shared" si="0"/>
        <v>7200000</v>
      </c>
      <c r="L16" s="305">
        <f>IFERROR(IF($AB$2="",0,ROUNDUP(VLOOKUP($B16,예산실적비교표!$O$7:$R$200,3,FALSE)/($Y$8-(12-$Y$9)),-2)*$Y$8),0)</f>
        <v>72000000</v>
      </c>
      <c r="M16" s="597">
        <f>IF($AM$1=TRUE,IF(K16="","",IF(IF($AE$2="",IF(K16="","",SUBTOTAL(2,$K$3:K16)),IF(AND(G16&gt;=0,K16=""),"",IF(AND(G16&gt;0,OR(K16&gt;0,K16&lt;0)),SUBTOTAL(2,$K$3:K16),IF(AND(G16=0,OR(K16&gt;0,K16&lt;0)),SUBTOTAL(2,$K$3:K16)+200,""))))&gt;200,"",1)),IF(K16="","",IF(IF($AE$2="",IF(K16="","",SUBTOTAL(2,$K$3:K16)),IF(AND(G16&gt;=0,K16=""),"",IF(AND(G16&gt;0,OR(K16&gt;0,K16&lt;0)),SUBTOTAL(2,$K$3:K16),IF(AND(G16=0,OR(K16&gt;0,K16&lt;0)),SUBTOTAL(2,$K$3:K16)+200,""))))&gt;200,"",1)))</f>
        <v>1</v>
      </c>
      <c r="N16" s="161" t="str">
        <f>IF($AM$1=TRUE,IF(K16="","",IF(IF($AE$2="",IF(K16="","",SUBTOTAL(2,$K$3:K16)),IF(AND(G16&gt;=0,K16=""),"",IF(AND(G16&gt;0,OR(K16&gt;0,K16&lt;0)),SUBTOTAL(2,$K$3:K16),IF(AND(G16=0,OR(K16&gt;0,K16&lt;0)),SUBTOTAL(2,$K$3:K16)+200,""))))&lt;=200,"",2)),IF(K16="","",IF(IF($AE$2="",IF(K16="","",SUBTOTAL(2,$K$3:K16)),IF(AND(G16&gt;=0,K16=""),"",IF(AND(G16&gt;0,OR(K16&gt;0,K16&lt;0)),SUBTOTAL(2,$K$3:K16),IF(AND(G16=0,OR(K16&gt;0,K16&lt;0)),SUBTOTAL(2,$K$3:K16)+200,""))))&lt;=200,"",2)))</f>
        <v/>
      </c>
      <c r="O16" s="460">
        <f>IF(Q16="",0%,20%)</f>
        <v>0.2</v>
      </c>
      <c r="P16" s="313">
        <f>IF(AND($AB$2=R16,($L$3+$L$14)=0),ROUND(($AF$7-$Y$26)*O16,0),IF($AB$2=R16,IF(OR(예산실적비교표!E12=0,예산실적비교표!E12=""),ROUND((($L$3+$L$14)/$Y$8*100%*O16)/(T16*V16),0),예산실적비교표!E12),0))</f>
        <v>0</v>
      </c>
      <c r="Q16" s="472">
        <v>0</v>
      </c>
      <c r="R16" s="314" t="s">
        <v>108</v>
      </c>
      <c r="S16" s="315" t="s">
        <v>110</v>
      </c>
      <c r="T16" s="621">
        <f>IF($AH$5=TRUE,IF($Y$1=2025,예산평균!AG34,예산평균!AH34),IF($Y$1=2025,예산평균!AE34,예산평균!AF34))</f>
        <v>58010</v>
      </c>
      <c r="U16" s="309">
        <f t="shared" si="1"/>
        <v>0</v>
      </c>
      <c r="V16" s="479">
        <f>V13</f>
        <v>21</v>
      </c>
      <c r="X16" s="325" t="s">
        <v>166</v>
      </c>
      <c r="Y16" s="1496">
        <f>세입예산서!V183</f>
        <v>1776688639</v>
      </c>
      <c r="Z16" s="1373"/>
      <c r="AA16" s="328" t="s">
        <v>166</v>
      </c>
      <c r="AB16" s="1496">
        <f>세입예산서!W183</f>
        <v>59290000</v>
      </c>
      <c r="AC16" s="1373"/>
      <c r="AD16" s="325" t="s">
        <v>166</v>
      </c>
      <c r="AE16" s="1496">
        <f>세입예산서!X183</f>
        <v>0</v>
      </c>
      <c r="AF16" s="1373"/>
      <c r="AH16" s="1512" t="str">
        <f>"업체유형별 인건비비율("&amp;$Y$1&amp;")"</f>
        <v>업체유형별 인건비비율(2026)</v>
      </c>
      <c r="AI16" s="1513"/>
      <c r="AJ16" s="1514"/>
      <c r="AK16" s="1313" t="s">
        <v>825</v>
      </c>
      <c r="AP16" s="981" t="str">
        <f>IF(예산실적비교표!AL16&lt;&gt;"",예산실적비교표!AL16,"")</f>
        <v/>
      </c>
      <c r="AQ16" s="982" t="str">
        <f>IF(예산실적비교표!AM16&lt;&gt;"",예산실적비교표!AM16,"")</f>
        <v/>
      </c>
      <c r="AR16" s="983">
        <f>IF(AND(예산실적비교표!AN16&lt;&gt;"",예산실적비교표!AN16&gt;1),예산실적비교표!AN16,0)</f>
        <v>0</v>
      </c>
      <c r="AS16" s="984">
        <f>IF(예산실적비교표!AO16&lt;&gt;"",예산실적비교표!AO16,0)</f>
        <v>0</v>
      </c>
      <c r="AT16" s="971">
        <f t="shared" si="2"/>
        <v>0</v>
      </c>
      <c r="AU16" s="985">
        <f>IF(예산실적비교표!AQ16&lt;&gt;"",예산실적비교표!AQ16,0)</f>
        <v>0</v>
      </c>
      <c r="AV16" s="973">
        <f t="shared" si="5"/>
        <v>0</v>
      </c>
      <c r="AW16" s="974">
        <f>IF(AR16="","",ROUND((AT16*$AT$7)*데이터입력!$AE$14+(AT16*$AU$7)*데이터입력!$AE$14+(AT16*$AU$7*$AV$7)*데이터입력!$AE$14+(AT16*$AW$7)*데이터입력!$AE$14+(AT16*$AX$7)*데이터입력!$AE$14,-1))</f>
        <v>0</v>
      </c>
      <c r="AX16" s="975">
        <f t="shared" si="6"/>
        <v>0</v>
      </c>
      <c r="AY16" s="976">
        <f>IFERROR(IF($AE$2=TRUE,IF(AR16+AS16=0,0,AR16+AS16),ROUND(IF(데이터입력!$AE$14=100%,ROUND(AR16*$AR$1,-3),ROUND(AR16*$AR$1,-3)-ROUND(((AR16*$AR$1)*$AT$4)*(데이터입력!$AE$14-100%)+((AR16*$AR$1)*$AU$4)*(데이터입력!$AE$14-100%)+((AR16*$AR$1)*$AU$4*$AV$4)*(데이터입력!$AE$14-100%)+((AR16*$AR$1)*$AW$4)*(데이터입력!$AE$14-100%),-1)),0)),0)</f>
        <v>0</v>
      </c>
      <c r="AZ16" s="977">
        <f>IFERROR(IF(AR16+AS16=0,0,IF(데이터입력!$AE$12=100%,(AT16),(AT16)+ROUND(AT16*(데이터입력!$AE$12-100%),-1))),0)</f>
        <v>0</v>
      </c>
      <c r="BA16" s="1095" t="str">
        <f>IFERROR(IF(AZ16=0,"",IF(AND(예산실적비교표!AP16&gt;0,예산실적비교표!AW16=0),"",ROUND(AZ16/12,0))),0)</f>
        <v/>
      </c>
      <c r="BB16" s="1096" t="str">
        <f>IF(BA16="","",IF(데이터입력!$O$71="",ROUND(AZ16/12,0),ROUND(데이터입력!$O$71/데이터입력!$Y$8/$BC$11,0)))</f>
        <v/>
      </c>
      <c r="BC16" s="991" t="str">
        <f>데이터입력!$B$45</f>
        <v>각종수당(간접비)</v>
      </c>
      <c r="BD16" s="992" t="e">
        <f>#REF!</f>
        <v>#REF!</v>
      </c>
      <c r="BE16" s="992">
        <f>데이터입력!$L$45</f>
        <v>0</v>
      </c>
      <c r="BF16" s="993" t="e">
        <f t="shared" si="7"/>
        <v>#REF!</v>
      </c>
    </row>
    <row r="17" spans="1:58" ht="22.5">
      <c r="A17" s="901" t="str">
        <f>IF($AM$1=TRUE,IF(K17="","",SUBTOTAL(2,$K$3:K17)),IF(AND(M17="",N17=""),"",IF(N17="",COUNT($M$3:M17),COUNT($N$3:N17)+200)))</f>
        <v/>
      </c>
      <c r="B17" s="303" t="s">
        <v>24</v>
      </c>
      <c r="C17" s="303" t="s">
        <v>503</v>
      </c>
      <c r="D17" s="302">
        <v>406010202</v>
      </c>
      <c r="E17" s="302" t="s">
        <v>83</v>
      </c>
      <c r="F17" s="302" t="s">
        <v>6</v>
      </c>
      <c r="G17" s="304">
        <f>IFERROR(IF($E17="06",VLOOKUP($B17,예산실적비교표!$O$7:$R$200,2,FALSE),0),0)</f>
        <v>0</v>
      </c>
      <c r="H17" s="304">
        <f>IFERROR(IF($E17="06",VLOOKUP($C17,세입예산서!$K$3:$X$205,12,FALSE),0),0)</f>
        <v>0</v>
      </c>
      <c r="I17" s="304">
        <f>IFERROR(IF($E17="07",VLOOKUP($C17,세입예산서!$K$3:$X$205,13,FALSE),0),0)</f>
        <v>0</v>
      </c>
      <c r="J17" s="304">
        <f>IFERROR(IF($E17="05",VLOOKUP($C17,세입예산서!$K$3:$X$205,14,FALSE),0),0)</f>
        <v>0</v>
      </c>
      <c r="K17" s="304" t="str">
        <f t="shared" si="0"/>
        <v/>
      </c>
      <c r="L17" s="305">
        <f>IFERROR(IF($AB$2="",0,ROUNDUP(VLOOKUP($B17,예산실적비교표!$O$7:$R$200,3,FALSE)/($Y$8-(12-$Y$9)),-2)*$Y$8),0)</f>
        <v>0</v>
      </c>
      <c r="M17" s="597" t="str">
        <f>IF($AM$1=TRUE,IF(K17="","",IF(IF($AE$2="",IF(K17="","",SUBTOTAL(2,$K$3:K17)),IF(AND(G17&gt;=0,K17=""),"",IF(AND(G17&gt;0,OR(K17&gt;0,K17&lt;0)),SUBTOTAL(2,$K$3:K17),IF(AND(G17=0,OR(K17&gt;0,K17&lt;0)),SUBTOTAL(2,$K$3:K17)+200,""))))&gt;200,"",1)),IF(K17="","",IF(IF($AE$2="",IF(K17="","",SUBTOTAL(2,$K$3:K17)),IF(AND(G17&gt;=0,K17=""),"",IF(AND(G17&gt;0,OR(K17&gt;0,K17&lt;0)),SUBTOTAL(2,$K$3:K17),IF(AND(G17=0,OR(K17&gt;0,K17&lt;0)),SUBTOTAL(2,$K$3:K17)+200,""))))&gt;200,"",1)))</f>
        <v/>
      </c>
      <c r="N17" s="161" t="str">
        <f>IF($AM$1=TRUE,IF(K17="","",IF(IF($AE$2="",IF(K17="","",SUBTOTAL(2,$K$3:K17)),IF(AND(G17&gt;=0,K17=""),"",IF(AND(G17&gt;0,OR(K17&gt;0,K17&lt;0)),SUBTOTAL(2,$K$3:K17),IF(AND(G17=0,OR(K17&gt;0,K17&lt;0)),SUBTOTAL(2,$K$3:K17)+200,""))))&lt;=200,"",2)),IF(K17="","",IF(IF($AE$2="",IF(K17="","",SUBTOTAL(2,$K$3:K17)),IF(AND(G17&gt;=0,K17=""),"",IF(AND(G17&gt;0,OR(K17&gt;0,K17&lt;0)),SUBTOTAL(2,$K$3:K17),IF(AND(G17=0,OR(K17&gt;0,K17&lt;0)),SUBTOTAL(2,$K$3:K17)+200,""))))&lt;=200,"",2)))</f>
        <v/>
      </c>
      <c r="O17" s="460">
        <f>IF(Q17="",0%,70%)</f>
        <v>0.7</v>
      </c>
      <c r="P17" s="313">
        <f>IF($AB$2=R17,IF(OR($AF$7=0,$AF$7=""),ROUND((($L$3+$L$14)/$Y$8*100%*O17)/(T17*V17),0),$AF$7-P13-P14-P18-데이터입력!P15-데이터입력!P16),0)</f>
        <v>0</v>
      </c>
      <c r="Q17" s="472">
        <v>0</v>
      </c>
      <c r="R17" s="314" t="s">
        <v>108</v>
      </c>
      <c r="S17" s="315" t="s">
        <v>111</v>
      </c>
      <c r="T17" s="621">
        <f>IF($AH$5=TRUE,IF($Y$1=2025,예산평균!AG35,예산평균!AH35),IF($Y$1=2025,예산평균!AE35,예산평균!AF35))</f>
        <v>56360</v>
      </c>
      <c r="U17" s="309">
        <f t="shared" si="1"/>
        <v>0</v>
      </c>
      <c r="V17" s="479">
        <f>V13</f>
        <v>21</v>
      </c>
      <c r="X17" s="319" t="s">
        <v>167</v>
      </c>
      <c r="Y17" s="1467" t="e">
        <f>세출예산서!$V$307</f>
        <v>#REF!</v>
      </c>
      <c r="Z17" s="1468"/>
      <c r="AA17" s="329" t="s">
        <v>167</v>
      </c>
      <c r="AB17" s="1467">
        <f>세출예산서!$W$307</f>
        <v>59290000</v>
      </c>
      <c r="AC17" s="1468"/>
      <c r="AD17" s="550" t="s">
        <v>167</v>
      </c>
      <c r="AE17" s="1467">
        <f>세출예산서!$X$307</f>
        <v>0</v>
      </c>
      <c r="AF17" s="1468"/>
      <c r="AH17" s="331" t="s">
        <v>231</v>
      </c>
      <c r="AI17" s="503">
        <f>IF($AE$2="",IF($Y$1=2025,예산평균!AD12,예산평균!AE12),예산평균!AD12)</f>
        <v>0.63500000000000001</v>
      </c>
      <c r="AJ17" s="504">
        <f>예산평균!AF12</f>
        <v>2.1</v>
      </c>
      <c r="AK17" s="504"/>
      <c r="AP17" s="981" t="str">
        <f>IF(예산실적비교표!AL17&lt;&gt;"",예산실적비교표!AL17,"")</f>
        <v/>
      </c>
      <c r="AQ17" s="982" t="str">
        <f>IF(예산실적비교표!AM17&lt;&gt;"",예산실적비교표!AM17,"")</f>
        <v/>
      </c>
      <c r="AR17" s="983">
        <f>IF(AND(예산실적비교표!AN17&lt;&gt;"",예산실적비교표!AN17&gt;1),예산실적비교표!AN17,0)</f>
        <v>0</v>
      </c>
      <c r="AS17" s="984">
        <f>IF(예산실적비교표!AO17&lt;&gt;"",예산실적비교표!AO17,0)</f>
        <v>0</v>
      </c>
      <c r="AT17" s="971">
        <f t="shared" si="2"/>
        <v>0</v>
      </c>
      <c r="AU17" s="985">
        <f>IF(예산실적비교표!AQ17&lt;&gt;"",예산실적비교표!AQ17,0)</f>
        <v>0</v>
      </c>
      <c r="AV17" s="973">
        <f t="shared" si="5"/>
        <v>0</v>
      </c>
      <c r="AW17" s="974">
        <f>IF(AR17="","",ROUND((AT17*$AT$7)*데이터입력!$AE$14+(AT17*$AU$7)*데이터입력!$AE$14+(AT17*$AU$7*$AV$7)*데이터입력!$AE$14+(AT17*$AW$7)*데이터입력!$AE$14+(AT17*$AX$7)*데이터입력!$AE$14,-1))</f>
        <v>0</v>
      </c>
      <c r="AX17" s="975">
        <f t="shared" si="6"/>
        <v>0</v>
      </c>
      <c r="AY17" s="976">
        <f>IFERROR(IF($AE$2=TRUE,IF(AR17+AS17=0,0,AR17+AS17),ROUND(IF(데이터입력!$AE$14=100%,ROUND(AR17*$AR$1,-3),ROUND(AR17*$AR$1,-3)-ROUND(((AR17*$AR$1)*$AT$4)*(데이터입력!$AE$14-100%)+((AR17*$AR$1)*$AU$4)*(데이터입력!$AE$14-100%)+((AR17*$AR$1)*$AU$4*$AV$4)*(데이터입력!$AE$14-100%)+((AR17*$AR$1)*$AW$4)*(데이터입력!$AE$14-100%),-1)),0)),0)</f>
        <v>0</v>
      </c>
      <c r="AZ17" s="977">
        <f>IFERROR(IF(AR17+AS17=0,0,IF(데이터입력!$AE$12=100%,(AT17),(AT17)+ROUND(AT17*(데이터입력!$AE$12-100%),-1))),0)</f>
        <v>0</v>
      </c>
      <c r="BA17" s="1095" t="str">
        <f>IFERROR(IF(AZ17=0,"",IF(AND(예산실적비교표!AP17&gt;0,예산실적비교표!AW17=0),"",ROUND(AZ17/12,0))),0)</f>
        <v/>
      </c>
      <c r="BB17" s="1096" t="str">
        <f>IF(BA17="","",IF(데이터입력!$O$71="",ROUND(AZ17/12,0),ROUND(데이터입력!$O$71/데이터입력!$Y$8/$BC$11,0)))</f>
        <v/>
      </c>
      <c r="BC17" s="991" t="str">
        <f>데이터입력!$B$46</f>
        <v>일용잡급(직접비)</v>
      </c>
      <c r="BD17" s="992" t="e">
        <f>#REF!</f>
        <v>#REF!</v>
      </c>
      <c r="BE17" s="992">
        <f>데이터입력!$L$46</f>
        <v>0</v>
      </c>
      <c r="BF17" s="993" t="e">
        <f t="shared" si="7"/>
        <v>#REF!</v>
      </c>
    </row>
    <row r="18" spans="1:58" ht="17.25" thickBot="1">
      <c r="A18" s="901" t="str">
        <f>IF($AM$1=TRUE,IF(K18="","",SUBTOTAL(2,$K$3:K18)),IF(AND(M18="",N18=""),"",IF(N18="",COUNT($M$3:M18),COUNT($N$3:N18)+200)))</f>
        <v/>
      </c>
      <c r="B18" s="303" t="s">
        <v>25</v>
      </c>
      <c r="C18" s="303" t="s">
        <v>504</v>
      </c>
      <c r="D18" s="302">
        <v>407010101</v>
      </c>
      <c r="E18" s="302" t="s">
        <v>83</v>
      </c>
      <c r="F18" s="302" t="s">
        <v>6</v>
      </c>
      <c r="G18" s="304">
        <f>IFERROR(IF($E18="06",VLOOKUP($B18,예산실적비교표!$O$7:$R$200,2,FALSE),0),0)</f>
        <v>0</v>
      </c>
      <c r="H18" s="304">
        <f>IFERROR(IF($E18="06",VLOOKUP($C18,세입예산서!$K$3:$X$205,12,FALSE),0),0)</f>
        <v>0</v>
      </c>
      <c r="I18" s="304">
        <f>IFERROR(IF($E18="07",VLOOKUP($C18,세입예산서!$K$3:$X$205,13,FALSE),0),0)</f>
        <v>0</v>
      </c>
      <c r="J18" s="304">
        <f>IFERROR(IF($E18="05",VLOOKUP($C18,세입예산서!$K$3:$X$205,14,FALSE),0),0)</f>
        <v>0</v>
      </c>
      <c r="K18" s="304" t="str">
        <f t="shared" si="0"/>
        <v/>
      </c>
      <c r="L18" s="305">
        <f>IFERROR(IF($AB$2="",0,ROUNDUP(VLOOKUP($B18,예산실적비교표!$O$7:$R$200,3,FALSE)/($Y$8-(12-$Y$9)),-2)*$Y$8),0)</f>
        <v>0</v>
      </c>
      <c r="M18" s="597" t="str">
        <f>IF($AM$1=TRUE,IF(K18="","",IF(IF($AE$2="",IF(K18="","",SUBTOTAL(2,$K$3:K18)),IF(AND(G18&gt;=0,K18=""),"",IF(AND(G18&gt;0,OR(K18&gt;0,K18&lt;0)),SUBTOTAL(2,$K$3:K18),IF(AND(G18=0,OR(K18&gt;0,K18&lt;0)),SUBTOTAL(2,$K$3:K18)+200,""))))&gt;200,"",1)),IF(K18="","",IF(IF($AE$2="",IF(K18="","",SUBTOTAL(2,$K$3:K18)),IF(AND(G18&gt;=0,K18=""),"",IF(AND(G18&gt;0,OR(K18&gt;0,K18&lt;0)),SUBTOTAL(2,$K$3:K18),IF(AND(G18=0,OR(K18&gt;0,K18&lt;0)),SUBTOTAL(2,$K$3:K18)+200,""))))&gt;200,"",1)))</f>
        <v/>
      </c>
      <c r="N18" s="161" t="str">
        <f>IF($AM$1=TRUE,IF(K18="","",IF(IF($AE$2="",IF(K18="","",SUBTOTAL(2,$K$3:K18)),IF(AND(G18&gt;=0,K18=""),"",IF(AND(G18&gt;0,OR(K18&gt;0,K18&lt;0)),SUBTOTAL(2,$K$3:K18),IF(AND(G18=0,OR(K18&gt;0,K18&lt;0)),SUBTOTAL(2,$K$3:K18)+200,""))))&lt;=200,"",2)),IF(K18="","",IF(IF($AE$2="",IF(K18="","",SUBTOTAL(2,$K$3:K18)),IF(AND(G18&gt;=0,K18=""),"",IF(AND(G18&gt;0,OR(K18&gt;0,K18&lt;0)),SUBTOTAL(2,$K$3:K18),IF(AND(G18=0,OR(K18&gt;0,K18&lt;0)),SUBTOTAL(2,$K$3:K18)+200,""))))&lt;=200,"",2)))</f>
        <v/>
      </c>
      <c r="O18" s="460">
        <v>0</v>
      </c>
      <c r="P18" s="313">
        <f>IF(AND($AB$2=R18,($L$3+$L$14)=0),ROUND(($AF$7-$Y$26)*O18,0),IF($AB$2=R18,IF(OR(예산실적비교표!F9=0,예산실적비교표!F9=""),ROUND((($L$3+$L$14)/$Y$8*100%*O18)/(T18*V18),0),예산실적비교표!F9),0))</f>
        <v>0</v>
      </c>
      <c r="Q18" s="472">
        <v>0</v>
      </c>
      <c r="R18" s="314" t="s">
        <v>108</v>
      </c>
      <c r="S18" s="332" t="s">
        <v>137</v>
      </c>
      <c r="T18" s="621">
        <f>IF($AH$5=TRUE,IF($Y$1=2025,예산평균!AG36,예산평균!AH36),IF($Y$1=2025,예산평균!AE36,예산평균!AF36))</f>
        <v>56360</v>
      </c>
      <c r="U18" s="309">
        <f t="shared" si="1"/>
        <v>0</v>
      </c>
      <c r="V18" s="479">
        <f>V13</f>
        <v>21</v>
      </c>
      <c r="X18" s="327" t="s">
        <v>168</v>
      </c>
      <c r="Y18" s="1494" t="e">
        <f>Y16-Y17</f>
        <v>#REF!</v>
      </c>
      <c r="Z18" s="1495"/>
      <c r="AA18" s="330" t="s">
        <v>168</v>
      </c>
      <c r="AB18" s="1494">
        <f>AB16-AB17</f>
        <v>0</v>
      </c>
      <c r="AC18" s="1495"/>
      <c r="AD18" s="552" t="s">
        <v>168</v>
      </c>
      <c r="AE18" s="1494">
        <f>AE16-AE17</f>
        <v>0</v>
      </c>
      <c r="AF18" s="1495"/>
      <c r="AH18" s="333" t="s">
        <v>232</v>
      </c>
      <c r="AI18" s="503">
        <f>IF($AE$2="",IF($Y$1=2025,예산평균!AD13,예산평균!AE13),예산평균!AD13)</f>
        <v>0.66100000000000003</v>
      </c>
      <c r="AJ18" s="504">
        <f>예산평균!AF13</f>
        <v>3</v>
      </c>
      <c r="AK18" s="504"/>
      <c r="AP18" s="981" t="str">
        <f>IF(예산실적비교표!AL18&lt;&gt;"",예산실적비교표!AL18,"")</f>
        <v/>
      </c>
      <c r="AQ18" s="982" t="str">
        <f>IF(예산실적비교표!AM18&lt;&gt;"",예산실적비교표!AM18,"")</f>
        <v/>
      </c>
      <c r="AR18" s="983">
        <f>IF(AND(예산실적비교표!AN18&lt;&gt;"",예산실적비교표!AN18&gt;1),예산실적비교표!AN18,0)</f>
        <v>0</v>
      </c>
      <c r="AS18" s="984">
        <f>IF(예산실적비교표!AO18&lt;&gt;"",예산실적비교표!AO18,0)</f>
        <v>0</v>
      </c>
      <c r="AT18" s="971">
        <f t="shared" si="2"/>
        <v>0</v>
      </c>
      <c r="AU18" s="985">
        <f>IF(예산실적비교표!AQ18&lt;&gt;"",예산실적비교표!AQ18,0)</f>
        <v>0</v>
      </c>
      <c r="AV18" s="973">
        <f t="shared" si="5"/>
        <v>0</v>
      </c>
      <c r="AW18" s="974">
        <f>IF(AR18="","",ROUND((AT18*$AT$7)*데이터입력!$AE$14+(AT18*$AU$7)*데이터입력!$AE$14+(AT18*$AU$7*$AV$7)*데이터입력!$AE$14+(AT18*$AW$7)*데이터입력!$AE$14+(AT18*$AX$7)*데이터입력!$AE$14,-1))</f>
        <v>0</v>
      </c>
      <c r="AX18" s="975">
        <f t="shared" si="6"/>
        <v>0</v>
      </c>
      <c r="AY18" s="976">
        <f>IFERROR(IF($AE$2=TRUE,IF(AR18+AS18=0,0,AR18+AS18),ROUND(IF(데이터입력!$AE$14=100%,ROUND(AR18*$AR$1,-3),ROUND(AR18*$AR$1,-3)-ROUND(((AR18*$AR$1)*$AT$4)*(데이터입력!$AE$14-100%)+((AR18*$AR$1)*$AU$4)*(데이터입력!$AE$14-100%)+((AR18*$AR$1)*$AU$4*$AV$4)*(데이터입력!$AE$14-100%)+((AR18*$AR$1)*$AW$4)*(데이터입력!$AE$14-100%),-1)),0)),0)</f>
        <v>0</v>
      </c>
      <c r="AZ18" s="977">
        <f>IFERROR(IF(AR18+AS18=0,0,IF(데이터입력!$AE$12=100%,(AT18),(AT18)+ROUND(AT18*(데이터입력!$AE$12-100%),-1))),0)</f>
        <v>0</v>
      </c>
      <c r="BA18" s="1095" t="str">
        <f>IFERROR(IF(AZ18=0,"",IF(AND(예산실적비교표!AP18&gt;0,예산실적비교표!AW18=0),"",ROUND(AZ18/12,0))),0)</f>
        <v/>
      </c>
      <c r="BB18" s="1096" t="str">
        <f>IF(BA18="","",IF(데이터입력!$O$71="",ROUND(AZ18/12,0),ROUND(데이터입력!$O$71/데이터입력!$Y$8/$BC$11,0)))</f>
        <v/>
      </c>
      <c r="BC18" s="991" t="str">
        <f>데이터입력!$B$47</f>
        <v>일용잡급(간접비)</v>
      </c>
      <c r="BD18" s="992" t="e">
        <f>#REF!</f>
        <v>#REF!</v>
      </c>
      <c r="BE18" s="992">
        <f>데이터입력!$L$47</f>
        <v>0</v>
      </c>
      <c r="BF18" s="993" t="e">
        <f t="shared" si="7"/>
        <v>#REF!</v>
      </c>
    </row>
    <row r="19" spans="1:58" ht="21" thickBot="1">
      <c r="A19" s="901" t="str">
        <f>IF($AM$1=TRUE,IF(K19="","",SUBTOTAL(2,$K$3:K19)),IF(AND(M19="",N19=""),"",IF(N19="",COUNT($M$3:M19),COUNT($N$3:N19)+200)))</f>
        <v/>
      </c>
      <c r="B19" s="303" t="s">
        <v>26</v>
      </c>
      <c r="C19" s="303" t="s">
        <v>505</v>
      </c>
      <c r="D19" s="302">
        <v>407010201</v>
      </c>
      <c r="E19" s="302" t="s">
        <v>83</v>
      </c>
      <c r="F19" s="302" t="s">
        <v>6</v>
      </c>
      <c r="G19" s="304">
        <f>IFERROR(IF($E19="06",VLOOKUP($B19,예산실적비교표!$O$7:$R$200,2,FALSE),0),0)</f>
        <v>0</v>
      </c>
      <c r="H19" s="304">
        <f>IFERROR(IF($E19="06",VLOOKUP($C19,세입예산서!$K$3:$X$205,12,FALSE),0),0)</f>
        <v>0</v>
      </c>
      <c r="I19" s="304">
        <f>IFERROR(IF($E19="07",VLOOKUP($C19,세입예산서!$K$3:$X$205,13,FALSE),0),0)</f>
        <v>0</v>
      </c>
      <c r="J19" s="304">
        <f>IFERROR(IF($E19="05",VLOOKUP($C19,세입예산서!$K$3:$X$205,14,FALSE),0),0)</f>
        <v>0</v>
      </c>
      <c r="K19" s="304" t="str">
        <f t="shared" si="0"/>
        <v/>
      </c>
      <c r="L19" s="305">
        <f>IFERROR(IF($AB$2="",0,ROUNDUP(VLOOKUP($B19,예산실적비교표!$O$7:$R$200,3,FALSE)/($Y$8-(12-$Y$9)),-2)*$Y$8),0)</f>
        <v>0</v>
      </c>
      <c r="M19" s="597" t="str">
        <f>IF($AM$1=TRUE,IF(K19="","",IF(IF($AE$2="",IF(K19="","",SUBTOTAL(2,$K$3:K19)),IF(AND(G19&gt;=0,K19=""),"",IF(AND(G19&gt;0,OR(K19&gt;0,K19&lt;0)),SUBTOTAL(2,$K$3:K19),IF(AND(G19=0,OR(K19&gt;0,K19&lt;0)),SUBTOTAL(2,$K$3:K19)+200,""))))&gt;200,"",1)),IF(K19="","",IF(IF($AE$2="",IF(K19="","",SUBTOTAL(2,$K$3:K19)),IF(AND(G19&gt;=0,K19=""),"",IF(AND(G19&gt;0,OR(K19&gt;0,K19&lt;0)),SUBTOTAL(2,$K$3:K19),IF(AND(G19=0,OR(K19&gt;0,K19&lt;0)),SUBTOTAL(2,$K$3:K19)+200,""))))&gt;200,"",1)))</f>
        <v/>
      </c>
      <c r="N19" s="161" t="str">
        <f>IF($AM$1=TRUE,IF(K19="","",IF(IF($AE$2="",IF(K19="","",SUBTOTAL(2,$K$3:K19)),IF(AND(G19&gt;=0,K19=""),"",IF(AND(G19&gt;0,OR(K19&gt;0,K19&lt;0)),SUBTOTAL(2,$K$3:K19),IF(AND(G19=0,OR(K19&gt;0,K19&lt;0)),SUBTOTAL(2,$K$3:K19)+200,""))))&lt;=200,"",2)),IF(K19="","",IF(IF($AE$2="",IF(K19="","",SUBTOTAL(2,$K$3:K19)),IF(AND(G19&gt;=0,K19=""),"",IF(AND(G19&gt;0,OR(K19&gt;0,K19&lt;0)),SUBTOTAL(2,$K$3:K19),IF(AND(G19=0,OR(K19&gt;0,K19&lt;0)),SUBTOTAL(2,$K$3:K19)+200,""))))&lt;=200,"",2)))</f>
        <v/>
      </c>
      <c r="O19" s="460">
        <f>IF(Q19="",0%,10%)</f>
        <v>0.1</v>
      </c>
      <c r="P19" s="313">
        <f>IF(AND($AB$2=R19,($L$3+$L$14)=0),ROUND(($AF$7-$Y$26)*O19,0),IF($AB$2=R19,IF(OR(예산실적비교표!F10=0,예산실적비교표!F10=""),ROUND((($L$3+$L$14)/$Y$8*100%*O19)/(T19*V19),0),예산실적비교표!F10),0))</f>
        <v>0</v>
      </c>
      <c r="Q19" s="472">
        <v>0</v>
      </c>
      <c r="R19" s="314" t="s">
        <v>112</v>
      </c>
      <c r="S19" s="315" t="s">
        <v>107</v>
      </c>
      <c r="T19" s="621">
        <f>IF($Y$1=2025,예산평균!AE37,예산평균!AF37)</f>
        <v>74060</v>
      </c>
      <c r="U19" s="309">
        <f t="shared" si="1"/>
        <v>0</v>
      </c>
      <c r="V19" s="1284">
        <f>IF(OR(예산실적비교표!F12=0,예산실적비교표!F12=""),15,예산실적비교표!F12)</f>
        <v>15</v>
      </c>
      <c r="X19" s="1391" t="s">
        <v>169</v>
      </c>
      <c r="Y19" s="1392"/>
      <c r="Z19" s="1393"/>
      <c r="AA19" s="1391" t="s">
        <v>169</v>
      </c>
      <c r="AB19" s="1392"/>
      <c r="AC19" s="1393"/>
      <c r="AD19" s="1391" t="s">
        <v>169</v>
      </c>
      <c r="AE19" s="1392"/>
      <c r="AF19" s="1393"/>
      <c r="AH19" s="333" t="s">
        <v>233</v>
      </c>
      <c r="AI19" s="503">
        <f>IF($AE$2="",IF($Y$1=2025,예산평균!AD14,예산평균!AE14),예산평균!AD14)</f>
        <v>0.495</v>
      </c>
      <c r="AJ19" s="504">
        <f>예산평균!AF14</f>
        <v>7</v>
      </c>
      <c r="AK19" s="504">
        <v>4</v>
      </c>
      <c r="AP19" s="981" t="str">
        <f>IF(예산실적비교표!AL19&lt;&gt;"",예산실적비교표!AL19,"")</f>
        <v/>
      </c>
      <c r="AQ19" s="982" t="str">
        <f>IF(예산실적비교표!AM19&lt;&gt;"",예산실적비교표!AM19,"")</f>
        <v/>
      </c>
      <c r="AR19" s="983">
        <f>IF(AND(예산실적비교표!AN19&lt;&gt;"",예산실적비교표!AN19&gt;1),예산실적비교표!AN19,0)</f>
        <v>0</v>
      </c>
      <c r="AS19" s="984">
        <f>IF(예산실적비교표!AO19&lt;&gt;"",예산실적비교표!AO19,0)</f>
        <v>0</v>
      </c>
      <c r="AT19" s="971">
        <f t="shared" si="2"/>
        <v>0</v>
      </c>
      <c r="AU19" s="985">
        <f>IF(예산실적비교표!AQ19&lt;&gt;"",예산실적비교표!AQ19,0)</f>
        <v>0</v>
      </c>
      <c r="AV19" s="973">
        <f t="shared" si="5"/>
        <v>0</v>
      </c>
      <c r="AW19" s="974">
        <f>IF(AR19="","",ROUND((AT19*$AT$7)*데이터입력!$AE$14+(AT19*$AU$7)*데이터입력!$AE$14+(AT19*$AU$7*$AV$7)*데이터입력!$AE$14+(AT19*$AW$7)*데이터입력!$AE$14+(AT19*$AX$7)*데이터입력!$AE$14,-1))</f>
        <v>0</v>
      </c>
      <c r="AX19" s="975">
        <f t="shared" si="6"/>
        <v>0</v>
      </c>
      <c r="AY19" s="976">
        <f>IFERROR(IF($AE$2=TRUE,IF(AR19+AS19=0,0,AR19+AS19),ROUND(IF(데이터입력!$AE$14=100%,ROUND(AR19*$AR$1,-3),ROUND(AR19*$AR$1,-3)-ROUND(((AR19*$AR$1)*$AT$4)*(데이터입력!$AE$14-100%)+((AR19*$AR$1)*$AU$4)*(데이터입력!$AE$14-100%)+((AR19*$AR$1)*$AU$4*$AV$4)*(데이터입력!$AE$14-100%)+((AR19*$AR$1)*$AW$4)*(데이터입력!$AE$14-100%),-1)),0)),0)</f>
        <v>0</v>
      </c>
      <c r="AZ19" s="977">
        <f>IFERROR(IF(AR19+AS19=0,0,IF(데이터입력!$AE$12=100%,(AT19),(AT19)+ROUND(AT19*(데이터입력!$AE$12-100%),-1))),0)</f>
        <v>0</v>
      </c>
      <c r="BA19" s="1095" t="str">
        <f>IFERROR(IF(AZ19=0,"",IF(AND(예산실적비교표!AP19&gt;0,예산실적비교표!AW19=0),"",ROUND(AZ19/12,0))),0)</f>
        <v/>
      </c>
      <c r="BB19" s="1096" t="str">
        <f>IF(BA19="","",IF(데이터입력!$O$71="",ROUND(AZ19/12,0),ROUND(데이터입력!$O$71/데이터입력!$Y$8/$BC$11,0)))</f>
        <v/>
      </c>
      <c r="BC19" s="991" t="str">
        <f>데이터입력!$B$48</f>
        <v>퇴직금 및 퇴직적립금(직접비)</v>
      </c>
      <c r="BD19" s="992" t="e">
        <f>#REF!</f>
        <v>#REF!</v>
      </c>
      <c r="BE19" s="992">
        <f>데이터입력!$L$48</f>
        <v>80978400</v>
      </c>
      <c r="BF19" s="993" t="e">
        <f t="shared" si="7"/>
        <v>#REF!</v>
      </c>
    </row>
    <row r="20" spans="1:58" ht="17.25" thickBot="1">
      <c r="A20" s="901" t="str">
        <f>IF($AM$1=TRUE,IF(K20="","",SUBTOTAL(2,$K$3:K20)),IF(AND(M20="",N20=""),"",IF(N20="",COUNT($M$3:M20),COUNT($N$3:N20)+200)))</f>
        <v/>
      </c>
      <c r="B20" s="303" t="s">
        <v>27</v>
      </c>
      <c r="C20" s="303" t="s">
        <v>506</v>
      </c>
      <c r="D20" s="302">
        <v>408010101</v>
      </c>
      <c r="E20" s="302" t="s">
        <v>83</v>
      </c>
      <c r="F20" s="302" t="s">
        <v>6</v>
      </c>
      <c r="G20" s="304">
        <f>IFERROR(IF($E20="06",VLOOKUP($B20,예산실적비교표!$O$7:$R$200,2,FALSE),0),0)</f>
        <v>0</v>
      </c>
      <c r="H20" s="304">
        <f>IFERROR(IF($E20="06",VLOOKUP($C20,세입예산서!$K$3:$X$205,12,FALSE),0),0)</f>
        <v>0</v>
      </c>
      <c r="I20" s="304">
        <f>IFERROR(IF($E20="07",VLOOKUP($C20,세입예산서!$K$3:$X$205,13,FALSE),0),0)</f>
        <v>0</v>
      </c>
      <c r="J20" s="304">
        <f>IFERROR(IF($E20="05",VLOOKUP($C20,세입예산서!$K$3:$X$205,14,FALSE),0),0)</f>
        <v>0</v>
      </c>
      <c r="K20" s="304" t="str">
        <f t="shared" si="0"/>
        <v/>
      </c>
      <c r="L20" s="305">
        <f>IFERROR(IF($AB$2="",0,ROUNDUP(VLOOKUP($B20,예산실적비교표!$O$7:$R$200,3,FALSE)/($Y$8-(12-$Y$9)),-2)*$Y$8),0)</f>
        <v>0</v>
      </c>
      <c r="M20" s="597" t="str">
        <f>IF($AM$1=TRUE,IF(K20="","",IF(IF($AE$2="",IF(K20="","",SUBTOTAL(2,$K$3:K20)),IF(AND(G20&gt;=0,K20=""),"",IF(AND(G20&gt;0,OR(K20&gt;0,K20&lt;0)),SUBTOTAL(2,$K$3:K20),IF(AND(G20=0,OR(K20&gt;0,K20&lt;0)),SUBTOTAL(2,$K$3:K20)+200,""))))&gt;200,"",1)),IF(K20="","",IF(IF($AE$2="",IF(K20="","",SUBTOTAL(2,$K$3:K20)),IF(AND(G20&gt;=0,K20=""),"",IF(AND(G20&gt;0,OR(K20&gt;0,K20&lt;0)),SUBTOTAL(2,$K$3:K20),IF(AND(G20=0,OR(K20&gt;0,K20&lt;0)),SUBTOTAL(2,$K$3:K20)+200,""))))&gt;200,"",1)))</f>
        <v/>
      </c>
      <c r="N20" s="161" t="str">
        <f>IF($AM$1=TRUE,IF(K20="","",IF(IF($AE$2="",IF(K20="","",SUBTOTAL(2,$K$3:K20)),IF(AND(G20&gt;=0,K20=""),"",IF(AND(G20&gt;0,OR(K20&gt;0,K20&lt;0)),SUBTOTAL(2,$K$3:K20),IF(AND(G20=0,OR(K20&gt;0,K20&lt;0)),SUBTOTAL(2,$K$3:K20)+200,""))))&lt;=200,"",2)),IF(K20="","",IF(IF($AE$2="",IF(K20="","",SUBTOTAL(2,$K$3:K20)),IF(AND(G20&gt;=0,K20=""),"",IF(AND(G20&gt;0,OR(K20&gt;0,K20&lt;0)),SUBTOTAL(2,$K$3:K20),IF(AND(G20=0,OR(K20&gt;0,K20&lt;0)),SUBTOTAL(2,$K$3:K20)+200,""))))&lt;=200,"",2)))</f>
        <v/>
      </c>
      <c r="O20" s="460">
        <f>IF(Q20="",0%,20%)</f>
        <v>0.2</v>
      </c>
      <c r="P20" s="313">
        <f>IF(AND($AB$2=R20,($L$3+$L$14)=0),ROUND(($AF$7-$Y$26)*O20,0),IF($AB$2=R20,IF(OR(예산실적비교표!F11=0,예산실적비교표!F11=""),ROUND((($L$3+$L$14)/$Y$8*100%*O20)/(T20*V20),0),예산실적비교표!F11),0))</f>
        <v>0</v>
      </c>
      <c r="Q20" s="472">
        <v>0</v>
      </c>
      <c r="R20" s="314" t="s">
        <v>112</v>
      </c>
      <c r="S20" s="315" t="s">
        <v>104</v>
      </c>
      <c r="T20" s="621">
        <f>IF($Y$1=2025,예산평균!AE38,예산평균!AF38)</f>
        <v>68580</v>
      </c>
      <c r="U20" s="309">
        <f t="shared" si="1"/>
        <v>0</v>
      </c>
      <c r="V20" s="479">
        <f>V19</f>
        <v>15</v>
      </c>
      <c r="X20" s="334" t="s">
        <v>170</v>
      </c>
      <c r="Y20" s="1492">
        <v>177000000</v>
      </c>
      <c r="Z20" s="1493"/>
      <c r="AA20" s="329" t="s">
        <v>185</v>
      </c>
      <c r="AB20" s="1486"/>
      <c r="AC20" s="1487"/>
      <c r="AD20" s="325" t="s">
        <v>171</v>
      </c>
      <c r="AE20" s="1488">
        <f>VLOOKUP(AD20,$B$111:$L$137,11,FALSE)</f>
        <v>0</v>
      </c>
      <c r="AF20" s="1489"/>
      <c r="AH20" s="333" t="s">
        <v>234</v>
      </c>
      <c r="AI20" s="503">
        <f>IF($AE$2="",IF($Y$1=2025,예산평균!AD15,예산평균!AE15),예산평균!AD15)</f>
        <v>0.59799999999999998</v>
      </c>
      <c r="AJ20" s="504">
        <f>예산평균!AF15</f>
        <v>4</v>
      </c>
      <c r="AK20" s="504"/>
      <c r="AP20" s="981" t="str">
        <f>IF(예산실적비교표!AL20&lt;&gt;"",예산실적비교표!AL20,"")</f>
        <v/>
      </c>
      <c r="AQ20" s="982" t="str">
        <f>IF(예산실적비교표!AM20&lt;&gt;"",예산실적비교표!AM20,"")</f>
        <v/>
      </c>
      <c r="AR20" s="983">
        <f>IF(AND(예산실적비교표!AN20&lt;&gt;"",예산실적비교표!AN20&gt;1),예산실적비교표!AN20,0)</f>
        <v>0</v>
      </c>
      <c r="AS20" s="984">
        <f>IF(예산실적비교표!AO20&lt;&gt;"",예산실적비교표!AO20,0)</f>
        <v>0</v>
      </c>
      <c r="AT20" s="971">
        <f t="shared" si="2"/>
        <v>0</v>
      </c>
      <c r="AU20" s="985">
        <f>IF(예산실적비교표!AQ20&lt;&gt;"",예산실적비교표!AQ20,0)</f>
        <v>0</v>
      </c>
      <c r="AV20" s="973">
        <f t="shared" si="5"/>
        <v>0</v>
      </c>
      <c r="AW20" s="974">
        <f>IF(AR20="","",ROUND((AT20*$AT$7)*데이터입력!$AE$14+(AT20*$AU$7)*데이터입력!$AE$14+(AT20*$AU$7*$AV$7)*데이터입력!$AE$14+(AT20*$AW$7)*데이터입력!$AE$14+(AT20*$AX$7)*데이터입력!$AE$14,-1))</f>
        <v>0</v>
      </c>
      <c r="AX20" s="975">
        <f t="shared" si="6"/>
        <v>0</v>
      </c>
      <c r="AY20" s="976">
        <f>IFERROR(IF($AE$2=TRUE,IF(AR20+AS20=0,0,AR20+AS20),ROUND(IF(데이터입력!$AE$14=100%,ROUND(AR20*$AR$1,-3),ROUND(AR20*$AR$1,-3)-ROUND(((AR20*$AR$1)*$AT$4)*(데이터입력!$AE$14-100%)+((AR20*$AR$1)*$AU$4)*(데이터입력!$AE$14-100%)+((AR20*$AR$1)*$AU$4*$AV$4)*(데이터입력!$AE$14-100%)+((AR20*$AR$1)*$AW$4)*(데이터입력!$AE$14-100%),-1)),0)),0)</f>
        <v>0</v>
      </c>
      <c r="AZ20" s="977">
        <f>IFERROR(IF(AR20+AS20=0,0,IF(데이터입력!$AE$12=100%,(AT20),(AT20)+ROUND(AT20*(데이터입력!$AE$12-100%),-1))),0)</f>
        <v>0</v>
      </c>
      <c r="BA20" s="1095" t="str">
        <f>IFERROR(IF(AZ20=0,"",IF(AND(예산실적비교표!AP20&gt;0,예산실적비교표!AW20=0),"",ROUND(AZ20/12,0))),0)</f>
        <v/>
      </c>
      <c r="BB20" s="1096" t="str">
        <f>IF(BA20="","",IF(데이터입력!$O$71="",ROUND(AZ20/12,0),ROUND(데이터입력!$O$71/데이터입력!$Y$8/$BC$11,0)))</f>
        <v/>
      </c>
      <c r="BC20" s="1115" t="str">
        <f>데이터입력!$B$49</f>
        <v>퇴직금 및 퇴직적립금(간접비)</v>
      </c>
      <c r="BD20" s="1114" t="e">
        <f>#REF!</f>
        <v>#REF!</v>
      </c>
      <c r="BE20" s="1114">
        <f>데이터입력!$L$49</f>
        <v>0</v>
      </c>
      <c r="BF20" s="996" t="e">
        <f t="shared" si="7"/>
        <v>#REF!</v>
      </c>
    </row>
    <row r="21" spans="1:58">
      <c r="A21" s="901">
        <f>IF($AM$1=TRUE,IF(K21="","",SUBTOTAL(2,$K$3:K21)),IF(AND(M21="",N21=""),"",IF(N21="",COUNT($M$3:M21),COUNT($N$3:N21)+200)))</f>
        <v>6</v>
      </c>
      <c r="B21" s="303" t="s">
        <v>29</v>
      </c>
      <c r="C21" s="303" t="s">
        <v>507</v>
      </c>
      <c r="D21" s="302">
        <v>408010301</v>
      </c>
      <c r="E21" s="302" t="s">
        <v>83</v>
      </c>
      <c r="F21" s="302" t="s">
        <v>6</v>
      </c>
      <c r="G21" s="304">
        <f>IFERROR(IF($E21="06",VLOOKUP($B21,예산실적비교표!$O$7:$R$200,2,FALSE),0),0)</f>
        <v>12000000</v>
      </c>
      <c r="H21" s="304">
        <f>IFERROR(IF($E21="06",VLOOKUP($C21,세입예산서!$K$3:$X$205,12,FALSE),0),0)</f>
        <v>12000000</v>
      </c>
      <c r="I21" s="304">
        <f>IFERROR(IF($E21="07",VLOOKUP($C21,세입예산서!$K$3:$X$205,13,FALSE),0),0)</f>
        <v>0</v>
      </c>
      <c r="J21" s="304">
        <f>IFERROR(IF($E21="05",VLOOKUP($C21,세입예산서!$K$3:$X$205,14,FALSE),0),0)</f>
        <v>0</v>
      </c>
      <c r="K21" s="304">
        <f t="shared" si="0"/>
        <v>0</v>
      </c>
      <c r="L21" s="305">
        <f>IFERROR(IF($AB$2="",0,ROUNDUP(VLOOKUP($B21,예산실적비교표!$O$7:$R$200,3,FALSE)/($Y$8-(12-$Y$9)),-2)*$Y$8),0)</f>
        <v>12000000</v>
      </c>
      <c r="M21" s="597">
        <f>IF($AM$1=TRUE,IF(K21="","",IF(IF($AE$2="",IF(K21="","",SUBTOTAL(2,$K$3:K21)),IF(AND(G21&gt;=0,K21=""),"",IF(AND(G21&gt;0,OR(K21&gt;0,K21&lt;0)),SUBTOTAL(2,$K$3:K21),IF(AND(G21=0,OR(K21&gt;0,K21&lt;0)),SUBTOTAL(2,$K$3:K21)+200,""))))&gt;200,"",1)),IF(K21="","",IF(IF($AE$2="",IF(K21="","",SUBTOTAL(2,$K$3:K21)),IF(AND(G21&gt;=0,K21=""),"",IF(AND(G21&gt;0,OR(K21&gt;0,K21&lt;0)),SUBTOTAL(2,$K$3:K21),IF(AND(G21=0,OR(K21&gt;0,K21&lt;0)),SUBTOTAL(2,$K$3:K21)+200,""))))&gt;200,"",1)))</f>
        <v>1</v>
      </c>
      <c r="N21" s="161" t="str">
        <f>IF($AM$1=TRUE,IF(K21="","",IF(IF($AE$2="",IF(K21="","",SUBTOTAL(2,$K$3:K21)),IF(AND(G21&gt;=0,K21=""),"",IF(AND(G21&gt;0,OR(K21&gt;0,K21&lt;0)),SUBTOTAL(2,$K$3:K21),IF(AND(G21=0,OR(K21&gt;0,K21&lt;0)),SUBTOTAL(2,$K$3:K21)+200,""))))&lt;=200,"",2)),IF(K21="","",IF(IF($AE$2="",IF(K21="","",SUBTOTAL(2,$K$3:K21)),IF(AND(G21&gt;=0,K21=""),"",IF(AND(G21&gt;0,OR(K21&gt;0,K21&lt;0)),SUBTOTAL(2,$K$3:K21),IF(AND(G21=0,OR(K21&gt;0,K21&lt;0)),SUBTOTAL(2,$K$3:K21)+200,""))))&lt;=200,"",2)))</f>
        <v/>
      </c>
      <c r="O21" s="460">
        <f>IF(Q21="",0%,70%)</f>
        <v>0.7</v>
      </c>
      <c r="P21" s="313">
        <f>IF($AB$2=R21,IF(OR($AF$7=0,$AF$7=""),ROUND((($L$3+$L$14)/$Y$8*100%*O21)/(T21*V21),0),$AF$7-데이터입력!P19-데이터입력!P20),0)</f>
        <v>0</v>
      </c>
      <c r="Q21" s="472">
        <v>0</v>
      </c>
      <c r="R21" s="314" t="s">
        <v>112</v>
      </c>
      <c r="S21" s="315" t="s">
        <v>105</v>
      </c>
      <c r="T21" s="621">
        <f>IF($Y$1=2025,예산평균!AE39,예산평균!AF39)</f>
        <v>63350</v>
      </c>
      <c r="U21" s="309">
        <f t="shared" si="1"/>
        <v>0</v>
      </c>
      <c r="V21" s="479">
        <f>V19</f>
        <v>15</v>
      </c>
      <c r="X21" s="335" t="s">
        <v>172</v>
      </c>
      <c r="Y21" s="1409">
        <f>IF((SUM($H$3:$H$28)-SUM($H$42:$H$75,$H$77:$H$80))&gt;0,SUM($H$3:$H$28)-SUM($H$42:$H$75,$H$77:$H$80),0)</f>
        <v>1087016977</v>
      </c>
      <c r="Z21" s="1410"/>
      <c r="AA21" s="329" t="s">
        <v>763</v>
      </c>
      <c r="AB21" s="1486"/>
      <c r="AC21" s="1487"/>
      <c r="AD21" s="550" t="s">
        <v>173</v>
      </c>
      <c r="AE21" s="1490">
        <f t="shared" ref="AE21" si="8">VLOOKUP(AD21,$B$111:$L$137,11,FALSE)</f>
        <v>0</v>
      </c>
      <c r="AF21" s="1491"/>
      <c r="AH21" s="333" t="s">
        <v>113</v>
      </c>
      <c r="AI21" s="503">
        <f>IF($AE$2="",IF($Y$1=2025,예산평균!AD16,예산평균!AE16),예산평균!AD16)</f>
        <v>0.876</v>
      </c>
      <c r="AJ21" s="504">
        <f>예산평균!AF16</f>
        <v>1.5</v>
      </c>
      <c r="AK21" s="504"/>
      <c r="AP21" s="981" t="str">
        <f>IF(예산실적비교표!AL21&lt;&gt;"",예산실적비교표!AL21,"")</f>
        <v/>
      </c>
      <c r="AQ21" s="982" t="str">
        <f>IF(예산실적비교표!AM21&lt;&gt;"",예산실적비교표!AM21,"")</f>
        <v/>
      </c>
      <c r="AR21" s="983">
        <f>IF(AND(예산실적비교표!AN21&lt;&gt;"",예산실적비교표!AN21&gt;1),예산실적비교표!AN21,0)</f>
        <v>0</v>
      </c>
      <c r="AS21" s="984">
        <f>IF(예산실적비교표!AO21&lt;&gt;"",예산실적비교표!AO21,0)</f>
        <v>0</v>
      </c>
      <c r="AT21" s="971">
        <f t="shared" si="2"/>
        <v>0</v>
      </c>
      <c r="AU21" s="985">
        <f>IF(예산실적비교표!AQ21&lt;&gt;"",예산실적비교표!AQ21,0)</f>
        <v>0</v>
      </c>
      <c r="AV21" s="973">
        <f t="shared" si="5"/>
        <v>0</v>
      </c>
      <c r="AW21" s="974">
        <f>IF(AR21="","",ROUND((AT21*$AT$7)*데이터입력!$AE$14+(AT21*$AU$7)*데이터입력!$AE$14+(AT21*$AU$7*$AV$7)*데이터입력!$AE$14+(AT21*$AW$7)*데이터입력!$AE$14+(AT21*$AX$7)*데이터입력!$AE$14,-1))</f>
        <v>0</v>
      </c>
      <c r="AX21" s="975">
        <f t="shared" si="6"/>
        <v>0</v>
      </c>
      <c r="AY21" s="976">
        <f>IFERROR(IF($AE$2=TRUE,IF(AR21+AS21=0,0,AR21+AS21),ROUND(IF(데이터입력!$AE$14=100%,ROUND(AR21*$AR$1,-3),ROUND(AR21*$AR$1,-3)-ROUND(((AR21*$AR$1)*$AT$4)*(데이터입력!$AE$14-100%)+((AR21*$AR$1)*$AU$4)*(데이터입력!$AE$14-100%)+((AR21*$AR$1)*$AU$4*$AV$4)*(데이터입력!$AE$14-100%)+((AR21*$AR$1)*$AW$4)*(데이터입력!$AE$14-100%),-1)),0)),0)</f>
        <v>0</v>
      </c>
      <c r="AZ21" s="977">
        <f>IFERROR(IF(AR21+AS21=0,0,IF(데이터입력!$AE$12=100%,(AT21),(AT21)+ROUND(AT21*(데이터입력!$AE$12-100%),-1))),0)</f>
        <v>0</v>
      </c>
      <c r="BA21" s="1095" t="str">
        <f>IFERROR(IF(AZ21=0,"",IF(AND(예산실적비교표!AP21&gt;0,예산실적비교표!AW21=0),"",ROUND(AZ21/12,0))),0)</f>
        <v/>
      </c>
      <c r="BB21" s="1096" t="str">
        <f>IF(BA21="","",IF(데이터입력!$O$71="",ROUND(AZ21/12,0),ROUND(데이터입력!$O$71/데이터입력!$Y$8/$BC$11,0)))</f>
        <v/>
      </c>
      <c r="BC21" s="1113" t="s">
        <v>729</v>
      </c>
      <c r="BD21" s="1113" t="s">
        <v>730</v>
      </c>
      <c r="BE21" s="1167">
        <f>Y1</f>
        <v>2026</v>
      </c>
    </row>
    <row r="22" spans="1:58" ht="17.25" thickBot="1">
      <c r="A22" s="901">
        <f>IF($AM$1=TRUE,IF(K22="","",SUBTOTAL(2,$K$3:K22)),IF(AND(M22="",N22=""),"",IF(N22="",COUNT($M$3:M22),COUNT($N$3:N22)+200)))</f>
        <v>7</v>
      </c>
      <c r="B22" s="303" t="s">
        <v>31</v>
      </c>
      <c r="C22" s="303" t="s">
        <v>508</v>
      </c>
      <c r="D22" s="302">
        <v>409010101</v>
      </c>
      <c r="E22" s="302" t="s">
        <v>83</v>
      </c>
      <c r="F22" s="302" t="s">
        <v>6</v>
      </c>
      <c r="G22" s="304">
        <f>IFERROR(IF($E22="06",VLOOKUP($B22,예산실적비교표!$O$7:$R$200,2,FALSE),0),0)</f>
        <v>75336977</v>
      </c>
      <c r="H22" s="304">
        <f>IFERROR(IF($E22="06",VLOOKUP($C22,세입예산서!$K$3:$X$205,12,FALSE),0),0)</f>
        <v>75336977</v>
      </c>
      <c r="I22" s="304">
        <f>IFERROR(IF($E22="07",VLOOKUP($C22,세입예산서!$K$3:$X$205,13,FALSE),0),0)</f>
        <v>0</v>
      </c>
      <c r="J22" s="304">
        <f>IFERROR(IF($E22="05",VLOOKUP($C22,세입예산서!$K$3:$X$205,14,FALSE),0),0)</f>
        <v>0</v>
      </c>
      <c r="K22" s="304">
        <f t="shared" si="0"/>
        <v>0</v>
      </c>
      <c r="L22" s="305">
        <f>IFERROR(IF($AB$2="",0,ROUNDUP(VLOOKUP($B22,예산실적비교표!$O$7:$R$200,3,FALSE),0)),0)</f>
        <v>75336977</v>
      </c>
      <c r="M22" s="597">
        <f>IF($AM$1=TRUE,IF(K22="","",IF(IF($AE$2="",IF(K22="","",SUBTOTAL(2,$K$3:K22)),IF(AND(G22&gt;=0,K22=""),"",IF(AND(G22&gt;0,OR(K22&gt;0,K22&lt;0)),SUBTOTAL(2,$K$3:K22),IF(AND(G22=0,OR(K22&gt;0,K22&lt;0)),SUBTOTAL(2,$K$3:K22)+200,""))))&gt;200,"",1)),IF(K22="","",IF(IF($AE$2="",IF(K22="","",SUBTOTAL(2,$K$3:K22)),IF(AND(G22&gt;=0,K22=""),"",IF(AND(G22&gt;0,OR(K22&gt;0,K22&lt;0)),SUBTOTAL(2,$K$3:K22),IF(AND(G22=0,OR(K22&gt;0,K22&lt;0)),SUBTOTAL(2,$K$3:K22)+200,""))))&gt;200,"",1)))</f>
        <v>1</v>
      </c>
      <c r="N22" s="161" t="str">
        <f>IF($AM$1=TRUE,IF(K22="","",IF(IF($AE$2="",IF(K22="","",SUBTOTAL(2,$K$3:K22)),IF(AND(G22&gt;=0,K22=""),"",IF(AND(G22&gt;0,OR(K22&gt;0,K22&lt;0)),SUBTOTAL(2,$K$3:K22),IF(AND(G22=0,OR(K22&gt;0,K22&lt;0)),SUBTOTAL(2,$K$3:K22)+200,""))))&lt;=200,"",2)),IF(K22="","",IF(IF($AE$2="",IF(K22="","",SUBTOTAL(2,$K$3:K22)),IF(AND(G22&gt;=0,K22=""),"",IF(AND(G22&gt;0,OR(K22&gt;0,K22&lt;0)),SUBTOTAL(2,$K$3:K22),IF(AND(G22=0,OR(K22&gt;0,K22&lt;0)),SUBTOTAL(2,$K$3:K22)+200,""))))&lt;=200,"",2)))</f>
        <v/>
      </c>
      <c r="O22" s="460">
        <f>IF(Q22="",0%,90%)</f>
        <v>0.9</v>
      </c>
      <c r="P22" s="313">
        <f>IF($AB$2=$R$22,IF(OR($AF$7=0,$AF$7=""),ROUND((($L$3+$L$14)/$Y$8*120%*O22)/(T22*V22),0),IF($AF$7=예산실적비교표!$C$4,예산실적비교표!G8,ROUND($AF$7*O22,0))),0)</f>
        <v>0</v>
      </c>
      <c r="Q22" s="472">
        <v>0</v>
      </c>
      <c r="R22" s="314" t="s">
        <v>113</v>
      </c>
      <c r="S22" s="315" t="s">
        <v>114</v>
      </c>
      <c r="T22" s="621">
        <f>IF($Y$1=2025,예산평균!AE40,예산평균!AF40)</f>
        <v>57020</v>
      </c>
      <c r="U22" s="309">
        <f t="shared" si="1"/>
        <v>0</v>
      </c>
      <c r="V22" s="1284">
        <f>IF(OR(예산실적비교표!G10=0,예산실적비교표!G10=""),21,예산실적비교표!G10)</f>
        <v>21</v>
      </c>
      <c r="X22" s="336" t="s">
        <v>174</v>
      </c>
      <c r="Y22" s="1503">
        <v>2000000</v>
      </c>
      <c r="Z22" s="1504"/>
      <c r="AA22" s="330" t="s">
        <v>243</v>
      </c>
      <c r="AB22" s="1505"/>
      <c r="AC22" s="1506"/>
      <c r="AD22" s="551" t="s">
        <v>130</v>
      </c>
      <c r="AE22" s="1507">
        <f>VLOOKUP(AD22,$B$111:$L$137,11,FALSE)</f>
        <v>0</v>
      </c>
      <c r="AF22" s="1508"/>
      <c r="AH22" s="333" t="s">
        <v>116</v>
      </c>
      <c r="AI22" s="503">
        <f>IF($AE$2="",IF($Y$1=2025,예산평균!AD17,예산평균!AE17),예산평균!AD17)</f>
        <v>0.50600000000000001</v>
      </c>
      <c r="AJ22" s="504">
        <f>예산평균!AF17</f>
        <v>2</v>
      </c>
      <c r="AK22" s="504"/>
      <c r="AP22" s="981" t="str">
        <f>IF(예산실적비교표!AL22&lt;&gt;"",예산실적비교표!AL22,"")</f>
        <v/>
      </c>
      <c r="AQ22" s="982" t="str">
        <f>IF(예산실적비교표!AM22&lt;&gt;"",예산실적비교표!AM22,"")</f>
        <v/>
      </c>
      <c r="AR22" s="983">
        <f>IF(AND(예산실적비교표!AN22&lt;&gt;"",예산실적비교표!AN22&gt;1),예산실적비교표!AN22,0)</f>
        <v>0</v>
      </c>
      <c r="AS22" s="984">
        <f>IF(예산실적비교표!AO22&lt;&gt;"",예산실적비교표!AO22,0)</f>
        <v>0</v>
      </c>
      <c r="AT22" s="971">
        <f t="shared" si="2"/>
        <v>0</v>
      </c>
      <c r="AU22" s="985">
        <f>IF(예산실적비교표!AQ22&lt;&gt;"",예산실적비교표!AQ22,0)</f>
        <v>0</v>
      </c>
      <c r="AV22" s="973">
        <f t="shared" si="5"/>
        <v>0</v>
      </c>
      <c r="AW22" s="974">
        <f>IF(AR22="","",ROUND((AT22*$AT$7)*데이터입력!$AE$14+(AT22*$AU$7)*데이터입력!$AE$14+(AT22*$AU$7*$AV$7)*데이터입력!$AE$14+(AT22*$AW$7)*데이터입력!$AE$14+(AT22*$AX$7)*데이터입력!$AE$14,-1))</f>
        <v>0</v>
      </c>
      <c r="AX22" s="975">
        <f t="shared" si="6"/>
        <v>0</v>
      </c>
      <c r="AY22" s="976">
        <f>IFERROR(IF($AE$2=TRUE,IF(AR22+AS22=0,0,AR22+AS22),ROUND(IF(데이터입력!$AE$14=100%,ROUND(AR22*$AR$1,-3),ROUND(AR22*$AR$1,-3)-ROUND(((AR22*$AR$1)*$AT$4)*(데이터입력!$AE$14-100%)+((AR22*$AR$1)*$AU$4)*(데이터입력!$AE$14-100%)+((AR22*$AR$1)*$AU$4*$AV$4)*(데이터입력!$AE$14-100%)+((AR22*$AR$1)*$AW$4)*(데이터입력!$AE$14-100%),-1)),0)),0)</f>
        <v>0</v>
      </c>
      <c r="AZ22" s="977">
        <f>IFERROR(IF(AR22+AS22=0,0,IF(데이터입력!$AE$12=100%,(AT22),(AT22)+ROUND(AT22*(데이터입력!$AE$12-100%),-1))),0)</f>
        <v>0</v>
      </c>
      <c r="BA22" s="1095" t="str">
        <f>IFERROR(IF(AZ22=0,"",IF(AND(예산실적비교표!AP22&gt;0,예산실적비교표!AW22=0),"",ROUND(AZ22/12,0))),0)</f>
        <v/>
      </c>
      <c r="BB22" s="1096" t="str">
        <f>IF(BA22="","",IF(데이터입력!$O$71="",ROUND(AZ22/12,0),ROUND(데이터입력!$O$71/데이터입력!$Y$8/$BC$11,0)))</f>
        <v/>
      </c>
      <c r="BC22" s="1106" t="s">
        <v>734</v>
      </c>
      <c r="BD22" s="1109" t="s">
        <v>736</v>
      </c>
      <c r="BE22" s="1168">
        <f>AI17</f>
        <v>0.63500000000000001</v>
      </c>
    </row>
    <row r="23" spans="1:58" ht="17.25" thickBot="1">
      <c r="A23" s="901">
        <f>IF($AM$1=TRUE,IF(K23="","",SUBTOTAL(2,$K$3:K23)),IF(AND(M23="",N23=""),"",IF(N23="",COUNT($M$3:M23),COUNT($N$3:N23)+200)))</f>
        <v>8</v>
      </c>
      <c r="B23" s="303" t="s">
        <v>33</v>
      </c>
      <c r="C23" s="303" t="s">
        <v>509</v>
      </c>
      <c r="D23" s="302">
        <v>409010301</v>
      </c>
      <c r="E23" s="302" t="s">
        <v>83</v>
      </c>
      <c r="F23" s="302" t="s">
        <v>6</v>
      </c>
      <c r="G23" s="304">
        <f>IFERROR(IF($E23="06",VLOOKUP($B23,예산실적비교표!$O$7:$R$200,2,FALSE),0),0)</f>
        <v>46555502</v>
      </c>
      <c r="H23" s="304">
        <f>IFERROR(IF($E23="06",VLOOKUP($C23,세입예산서!$K$3:$X$205,12,FALSE),0),0)</f>
        <v>46555502</v>
      </c>
      <c r="I23" s="304">
        <f>IFERROR(IF($E23="07",VLOOKUP($C23,세입예산서!$K$3:$X$205,13,FALSE),0),0)</f>
        <v>0</v>
      </c>
      <c r="J23" s="304">
        <f>IFERROR(IF($E23="05",VLOOKUP($C23,세입예산서!$K$3:$X$205,14,FALSE),0),0)</f>
        <v>0</v>
      </c>
      <c r="K23" s="304">
        <f t="shared" si="0"/>
        <v>0</v>
      </c>
      <c r="L23" s="305">
        <f>IFERROR(IF($AB$2="",0,ROUNDUP(VLOOKUP($B23,예산실적비교표!$O$7:$R$200,3,FALSE),0)),0)</f>
        <v>46555502</v>
      </c>
      <c r="M23" s="597">
        <f>IF($AM$1=TRUE,IF(K23="","",IF(IF($AE$2="",IF(K23="","",SUBTOTAL(2,$K$3:K23)),IF(AND(G23&gt;=0,K23=""),"",IF(AND(G23&gt;0,OR(K23&gt;0,K23&lt;0)),SUBTOTAL(2,$K$3:K23),IF(AND(G23=0,OR(K23&gt;0,K23&lt;0)),SUBTOTAL(2,$K$3:K23)+200,""))))&gt;200,"",1)),IF(K23="","",IF(IF($AE$2="",IF(K23="","",SUBTOTAL(2,$K$3:K23)),IF(AND(G23&gt;=0,K23=""),"",IF(AND(G23&gt;0,OR(K23&gt;0,K23&lt;0)),SUBTOTAL(2,$K$3:K23),IF(AND(G23=0,OR(K23&gt;0,K23&lt;0)),SUBTOTAL(2,$K$3:K23)+200,""))))&gt;200,"",1)))</f>
        <v>1</v>
      </c>
      <c r="N23" s="161" t="str">
        <f>IF($AM$1=TRUE,IF(K23="","",IF(IF($AE$2="",IF(K23="","",SUBTOTAL(2,$K$3:K23)),IF(AND(G23&gt;=0,K23=""),"",IF(AND(G23&gt;0,OR(K23&gt;0,K23&lt;0)),SUBTOTAL(2,$K$3:K23),IF(AND(G23=0,OR(K23&gt;0,K23&lt;0)),SUBTOTAL(2,$K$3:K23)+200,""))))&lt;=200,"",2)),IF(K23="","",IF(IF($AE$2="",IF(K23="","",SUBTOTAL(2,$K$3:K23)),IF(AND(G23&gt;=0,K23=""),"",IF(AND(G23&gt;0,OR(K23&gt;0,K23&lt;0)),SUBTOTAL(2,$K$3:K23),IF(AND(G23=0,OR(K23&gt;0,K23&lt;0)),SUBTOTAL(2,$K$3:K23)+200,""))))&lt;=200,"",2)))</f>
        <v/>
      </c>
      <c r="O23" s="460">
        <f>IF(Q23="",0%,10%)</f>
        <v>0.1</v>
      </c>
      <c r="P23" s="313">
        <f>IF($AB$2=$R$22,IF(OR($AF$7=0,$AF$7=""),ROUNDDOWN((($L$3+$L$14)/$Y$8*120%*O23)/(T23*V23),0),IF($AF$7=예산실적비교표!$C$4,예산실적비교표!G9,ROUNDDOWN($AF$7*O23,0))),0)</f>
        <v>0</v>
      </c>
      <c r="Q23" s="472">
        <v>0</v>
      </c>
      <c r="R23" s="314" t="s">
        <v>115</v>
      </c>
      <c r="S23" s="315" t="s">
        <v>706</v>
      </c>
      <c r="T23" s="621">
        <f>IF($Y$1=2025,예산평균!AE41,예산평균!AF41)</f>
        <v>34120</v>
      </c>
      <c r="U23" s="309">
        <f t="shared" si="1"/>
        <v>0</v>
      </c>
      <c r="V23" s="479">
        <f>V22</f>
        <v>21</v>
      </c>
      <c r="X23" s="337" t="s">
        <v>175</v>
      </c>
      <c r="Y23" s="338" t="s">
        <v>175</v>
      </c>
      <c r="Z23" s="1500" t="s">
        <v>268</v>
      </c>
      <c r="AA23" s="1501"/>
      <c r="AB23" s="1501"/>
      <c r="AC23" s="1501"/>
      <c r="AD23" s="1501"/>
      <c r="AE23" s="1501"/>
      <c r="AF23" s="1502"/>
      <c r="AH23" s="339" t="s">
        <v>119</v>
      </c>
      <c r="AI23" s="1166">
        <f>IF($AE$2="",IF($Y$1=2025,예산평균!AD18,예산평균!AE18),예산평균!AD18)</f>
        <v>0.61099999999999999</v>
      </c>
      <c r="AJ23" s="504">
        <f>예산평균!AF18</f>
        <v>1.5</v>
      </c>
      <c r="AK23" s="504"/>
      <c r="AP23" s="981" t="str">
        <f>IF(예산실적비교표!AL23&lt;&gt;"",예산실적비교표!AL23,"")</f>
        <v/>
      </c>
      <c r="AQ23" s="982" t="str">
        <f>IF(예산실적비교표!AM23&lt;&gt;"",예산실적비교표!AM23,"")</f>
        <v/>
      </c>
      <c r="AR23" s="983">
        <f>IF(AND(예산실적비교표!AN23&lt;&gt;"",예산실적비교표!AN23&gt;1),예산실적비교표!AN23,0)</f>
        <v>0</v>
      </c>
      <c r="AS23" s="984">
        <f>IF(예산실적비교표!AO23&lt;&gt;"",예산실적비교표!AO23,0)</f>
        <v>0</v>
      </c>
      <c r="AT23" s="971">
        <f t="shared" si="2"/>
        <v>0</v>
      </c>
      <c r="AU23" s="985">
        <f>IF(예산실적비교표!AQ23&lt;&gt;"",예산실적비교표!AQ23,0)</f>
        <v>0</v>
      </c>
      <c r="AV23" s="973">
        <f t="shared" si="5"/>
        <v>0</v>
      </c>
      <c r="AW23" s="974">
        <f>IF(AR23="","",ROUND((AT23*$AT$7)*데이터입력!$AE$14+(AT23*$AU$7)*데이터입력!$AE$14+(AT23*$AU$7*$AV$7)*데이터입력!$AE$14+(AT23*$AW$7)*데이터입력!$AE$14+(AT23*$AX$7)*데이터입력!$AE$14,-1))</f>
        <v>0</v>
      </c>
      <c r="AX23" s="975">
        <f t="shared" si="6"/>
        <v>0</v>
      </c>
      <c r="AY23" s="976">
        <f>IFERROR(IF($AE$2=TRUE,IF(AR23+AS23=0,0,AR23+AS23),ROUND(IF(데이터입력!$AE$14=100%,ROUND(AR23*$AR$1,-3),ROUND(AR23*$AR$1,-3)-ROUND(((AR23*$AR$1)*$AT$4)*(데이터입력!$AE$14-100%)+((AR23*$AR$1)*$AU$4)*(데이터입력!$AE$14-100%)+((AR23*$AR$1)*$AU$4*$AV$4)*(데이터입력!$AE$14-100%)+((AR23*$AR$1)*$AW$4)*(데이터입력!$AE$14-100%),-1)),0)),0)</f>
        <v>0</v>
      </c>
      <c r="AZ23" s="977">
        <f>IFERROR(IF(AR23+AS23=0,0,IF(데이터입력!$AE$12=100%,(AT23),(AT23)+ROUND(AT23*(데이터입력!$AE$12-100%),-1))),0)</f>
        <v>0</v>
      </c>
      <c r="BA23" s="1095" t="str">
        <f>IFERROR(IF(AZ23=0,"",IF(AND(예산실적비교표!AP23&gt;0,예산실적비교표!AW23=0),"",ROUND(AZ23/12,0))),0)</f>
        <v/>
      </c>
      <c r="BB23" s="1096" t="str">
        <f>IF(BA23="","",IF(데이터입력!$O$71="",ROUND(AZ23/12,0),ROUND(데이터입력!$O$71/데이터입력!$Y$8/$BC$11,0)))</f>
        <v/>
      </c>
      <c r="BC23" s="1107" t="s">
        <v>735</v>
      </c>
      <c r="BD23" s="1110" t="s">
        <v>737</v>
      </c>
      <c r="BE23" s="1169"/>
    </row>
    <row r="24" spans="1:58" ht="17.25" thickBot="1">
      <c r="A24" s="901" t="str">
        <f>IF($AM$1=TRUE,IF(K24="","",SUBTOTAL(2,$K$3:K24)),IF(AND(M24="",N24=""),"",IF(N24="",COUNT($M$3:M24),COUNT($N$3:N24)+200)))</f>
        <v/>
      </c>
      <c r="B24" s="303" t="s">
        <v>34</v>
      </c>
      <c r="C24" s="303" t="s">
        <v>510</v>
      </c>
      <c r="D24" s="302">
        <v>409010401</v>
      </c>
      <c r="E24" s="302" t="s">
        <v>83</v>
      </c>
      <c r="F24" s="302" t="s">
        <v>80</v>
      </c>
      <c r="G24" s="304">
        <f>IFERROR(IF($E24="06",VLOOKUP($B24,예산실적비교표!$O$7:$R$200,2,FALSE),0),0)</f>
        <v>0</v>
      </c>
      <c r="H24" s="304">
        <f>IFERROR(IF($E24="06",VLOOKUP($C24,세입예산서!$K$3:$X$205,12,FALSE),0),0)</f>
        <v>0</v>
      </c>
      <c r="I24" s="304">
        <f>IFERROR(IF($E24="07",VLOOKUP($C24,세입예산서!$K$3:$X$205,13,FALSE),0),0)</f>
        <v>0</v>
      </c>
      <c r="J24" s="304">
        <f>IFERROR(IF($E24="05",VLOOKUP($C24,세입예산서!$K$3:$X$205,14,FALSE),0),0)</f>
        <v>0</v>
      </c>
      <c r="K24" s="304" t="str">
        <f t="shared" si="0"/>
        <v/>
      </c>
      <c r="L24" s="305">
        <f>IFERROR(IF($AB$2="",0,ROUNDUP(VLOOKUP($B24,예산실적비교표!$O$7:$R$200,3,FALSE)*$Y$6/($Y$8-(12-$Y$9)),-2)*$Y$8),0)</f>
        <v>0</v>
      </c>
      <c r="M24" s="597" t="str">
        <f>IF($AM$1=TRUE,IF(K24="","",IF(IF($AE$2="",IF(K24="","",SUBTOTAL(2,$K$3:K24)),IF(AND(G24&gt;=0,K24=""),"",IF(AND(G24&gt;0,OR(K24&gt;0,K24&lt;0)),SUBTOTAL(2,$K$3:K24),IF(AND(G24=0,OR(K24&gt;0,K24&lt;0)),SUBTOTAL(2,$K$3:K24)+200,""))))&gt;200,"",1)),IF(K24="","",IF(IF($AE$2="",IF(K24="","",SUBTOTAL(2,$K$3:K24)),IF(AND(G24&gt;=0,K24=""),"",IF(AND(G24&gt;0,OR(K24&gt;0,K24&lt;0)),SUBTOTAL(2,$K$3:K24),IF(AND(G24=0,OR(K24&gt;0,K24&lt;0)),SUBTOTAL(2,$K$3:K24)+200,""))))&gt;200,"",1)))</f>
        <v/>
      </c>
      <c r="N24" s="161" t="str">
        <f>IF($AM$1=TRUE,IF(K24="","",IF(IF($AE$2="",IF(K24="","",SUBTOTAL(2,$K$3:K24)),IF(AND(G24&gt;=0,K24=""),"",IF(AND(G24&gt;0,OR(K24&gt;0,K24&lt;0)),SUBTOTAL(2,$K$3:K24),IF(AND(G24=0,OR(K24&gt;0,K24&lt;0)),SUBTOTAL(2,$K$3:K24)+200,""))))&lt;=200,"",2)),IF(K24="","",IF(IF($AE$2="",IF(K24="","",SUBTOTAL(2,$K$3:K24)),IF(AND(G24&gt;=0,K24=""),"",IF(AND(G24&gt;0,OR(K24&gt;0,K24&lt;0)),SUBTOTAL(2,$K$3:K24),IF(AND(G24=0,OR(K24&gt;0,K24&lt;0)),SUBTOTAL(2,$K$3:K24)+200,""))))&lt;=200,"",2)))</f>
        <v/>
      </c>
      <c r="O24" s="460">
        <f>IF(Q24="",0%,0%)</f>
        <v>0</v>
      </c>
      <c r="P24" s="313">
        <f>IF($AB$2=$R$22,IF(OR($AF$7=0,$AF$7=""),ROUND((($L$3+$L$14)/$Y$8*120%*O24)/(T24*V24),0),IF($AF$7=예산실적비교표!$C$4,ROUND(($AF$7)*O24,0),IF(($AF$7-P22-P23)&lt;0,0,($AF$7-P22-P23)))),0)</f>
        <v>0</v>
      </c>
      <c r="Q24" s="472">
        <v>0</v>
      </c>
      <c r="R24" s="314" t="s">
        <v>115</v>
      </c>
      <c r="S24" s="315" t="s">
        <v>707</v>
      </c>
      <c r="T24" s="621">
        <f>IF($Y$1=2025,예산평균!AE42,예산평균!AF42)</f>
        <v>25320</v>
      </c>
      <c r="U24" s="309">
        <f t="shared" si="1"/>
        <v>0</v>
      </c>
      <c r="V24" s="479">
        <f>V22</f>
        <v>21</v>
      </c>
      <c r="X24" s="340" t="s">
        <v>176</v>
      </c>
      <c r="Y24" s="538">
        <f>$Y$25+$Y$26</f>
        <v>45</v>
      </c>
      <c r="Z24" s="341" t="s">
        <v>210</v>
      </c>
      <c r="AA24" s="534">
        <f>ROUND(세입예산서!$V$52/$U$39,-3)</f>
        <v>0</v>
      </c>
      <c r="AB24" s="341" t="s">
        <v>211</v>
      </c>
      <c r="AC24" s="534">
        <f>ROUND(세입예산서!V60/$U$40,-3)</f>
        <v>0</v>
      </c>
      <c r="AD24" s="341" t="s">
        <v>127</v>
      </c>
      <c r="AE24" s="535">
        <f>SUM(AE25:AE31)</f>
        <v>2100000</v>
      </c>
      <c r="AF24" s="342" t="s">
        <v>188</v>
      </c>
      <c r="AP24" s="981" t="str">
        <f>IF(예산실적비교표!AL24&lt;&gt;"",예산실적비교표!AL24,"")</f>
        <v/>
      </c>
      <c r="AQ24" s="982" t="str">
        <f>IF(예산실적비교표!AM24&lt;&gt;"",예산실적비교표!AM24,"")</f>
        <v/>
      </c>
      <c r="AR24" s="983">
        <f>IF(AND(예산실적비교표!AN24&lt;&gt;"",예산실적비교표!AN24&gt;1),예산실적비교표!AN24,0)</f>
        <v>0</v>
      </c>
      <c r="AS24" s="984">
        <f>IF(예산실적비교표!AO24&lt;&gt;"",예산실적비교표!AO24,0)</f>
        <v>0</v>
      </c>
      <c r="AT24" s="971">
        <f t="shared" si="2"/>
        <v>0</v>
      </c>
      <c r="AU24" s="985">
        <f>IF(예산실적비교표!AQ24&lt;&gt;"",예산실적비교표!AQ24,0)</f>
        <v>0</v>
      </c>
      <c r="AV24" s="973">
        <f t="shared" si="5"/>
        <v>0</v>
      </c>
      <c r="AW24" s="974">
        <f>IF(AR24="","",ROUND((AT24*$AT$7)*데이터입력!$AE$14+(AT24*$AU$7)*데이터입력!$AE$14+(AT24*$AU$7*$AV$7)*데이터입력!$AE$14+(AT24*$AW$7)*데이터입력!$AE$14+(AT24*$AX$7)*데이터입력!$AE$14,-1))</f>
        <v>0</v>
      </c>
      <c r="AX24" s="975">
        <f t="shared" si="6"/>
        <v>0</v>
      </c>
      <c r="AY24" s="976">
        <f>IFERROR(IF($AE$2=TRUE,IF(AR24+AS24=0,0,AR24+AS24),ROUND(IF(데이터입력!$AE$14=100%,ROUND(AR24*$AR$1,-3),ROUND(AR24*$AR$1,-3)-ROUND(((AR24*$AR$1)*$AT$4)*(데이터입력!$AE$14-100%)+((AR24*$AR$1)*$AU$4)*(데이터입력!$AE$14-100%)+((AR24*$AR$1)*$AU$4*$AV$4)*(데이터입력!$AE$14-100%)+((AR24*$AR$1)*$AW$4)*(데이터입력!$AE$14-100%),-1)),0)),0)</f>
        <v>0</v>
      </c>
      <c r="AZ24" s="977">
        <f>IFERROR(IF(AR24+AS24=0,0,IF(데이터입력!$AE$12=100%,(AT24),(AT24)+ROUND(AT24*(데이터입력!$AE$12-100%),-1))),0)</f>
        <v>0</v>
      </c>
      <c r="BA24" s="1095" t="str">
        <f>IFERROR(IF(AZ24=0,"",IF(AND(예산실적비교표!AP24&gt;0,예산실적비교표!AW24=0),"",ROUND(AZ24/12,0))),0)</f>
        <v/>
      </c>
      <c r="BB24" s="1096" t="str">
        <f>IF(BA24="","",IF(데이터입력!$O$71="",ROUND(AZ24/12,0),ROUND(데이터입력!$O$71/데이터입력!$Y$8/$BC$11,0)))</f>
        <v/>
      </c>
      <c r="BC24" s="1107"/>
      <c r="BD24" s="1110" t="s">
        <v>732</v>
      </c>
      <c r="BE24" s="1169"/>
    </row>
    <row r="25" spans="1:58" ht="17.25" thickBot="1">
      <c r="A25" s="901" t="str">
        <f>IF($AM$1=TRUE,IF(K25="","",SUBTOTAL(2,$K$3:K25)),IF(AND(M25="",N25=""),"",IF(N25="",COUNT($M$3:M25),COUNT($N$3:N25)+200)))</f>
        <v/>
      </c>
      <c r="B25" s="303" t="s">
        <v>35</v>
      </c>
      <c r="C25" s="303" t="s">
        <v>511</v>
      </c>
      <c r="D25" s="302">
        <v>410010101</v>
      </c>
      <c r="E25" s="302" t="s">
        <v>83</v>
      </c>
      <c r="F25" s="302" t="s">
        <v>6</v>
      </c>
      <c r="G25" s="304">
        <f>IFERROR(IF($E25="06",VLOOKUP($B25,예산실적비교표!$O$7:$R$200,2,FALSE),0),0)</f>
        <v>0</v>
      </c>
      <c r="H25" s="304">
        <f>IFERROR(IF($E25="06",VLOOKUP($C25,세입예산서!$K$3:$X$205,12,FALSE),0),0)</f>
        <v>0</v>
      </c>
      <c r="I25" s="304">
        <f>IFERROR(IF($E25="07",VLOOKUP($C25,세입예산서!$K$3:$X$205,13,FALSE),0),0)</f>
        <v>0</v>
      </c>
      <c r="J25" s="304">
        <f>IFERROR(IF($E25="05",VLOOKUP($C25,세입예산서!$K$3:$X$205,14,FALSE),0),0)</f>
        <v>0</v>
      </c>
      <c r="K25" s="304" t="str">
        <f t="shared" si="0"/>
        <v/>
      </c>
      <c r="L25" s="305">
        <f>IFERROR(IF($AB$2="",0,ROUNDUP(VLOOKUP($B25,예산실적비교표!$O$7:$R$200,3,FALSE)*$Y$6/($Y$8-(12-$Y$9)),-2)*$Y$8),0)</f>
        <v>0</v>
      </c>
      <c r="M25" s="597" t="str">
        <f>IF($AM$1=TRUE,IF(K25="","",IF(IF($AE$2="",IF(K25="","",SUBTOTAL(2,$K$3:K25)),IF(AND(G25&gt;=0,K25=""),"",IF(AND(G25&gt;0,OR(K25&gt;0,K25&lt;0)),SUBTOTAL(2,$K$3:K25),IF(AND(G25=0,OR(K25&gt;0,K25&lt;0)),SUBTOTAL(2,$K$3:K25)+200,""))))&gt;200,"",1)),IF(K25="","",IF(IF($AE$2="",IF(K25="","",SUBTOTAL(2,$K$3:K25)),IF(AND(G25&gt;=0,K25=""),"",IF(AND(G25&gt;0,OR(K25&gt;0,K25&lt;0)),SUBTOTAL(2,$K$3:K25),IF(AND(G25=0,OR(K25&gt;0,K25&lt;0)),SUBTOTAL(2,$K$3:K25)+200,""))))&gt;200,"",1)))</f>
        <v/>
      </c>
      <c r="N25" s="161" t="str">
        <f>IF($AM$1=TRUE,IF(K25="","",IF(IF($AE$2="",IF(K25="","",SUBTOTAL(2,$K$3:K25)),IF(AND(G25&gt;=0,K25=""),"",IF(AND(G25&gt;0,OR(K25&gt;0,K25&lt;0)),SUBTOTAL(2,$K$3:K25),IF(AND(G25=0,OR(K25&gt;0,K25&lt;0)),SUBTOTAL(2,$K$3:K25)+200,""))))&lt;=200,"",2)),IF(K25="","",IF(IF($AE$2="",IF(K25="","",SUBTOTAL(2,$K$3:K25)),IF(AND(G25&gt;=0,K25=""),"",IF(AND(G25&gt;0,OR(K25&gt;0,K25&lt;0)),SUBTOTAL(2,$K$3:K25),IF(AND(G25=0,OR(K25&gt;0,K25&lt;0)),SUBTOTAL(2,$K$3:K25)+200,""))))&lt;=200,"",2)))</f>
        <v/>
      </c>
      <c r="O25" s="460">
        <f>IF(AND(AC5=TRUE,AD5=FALSE),1,IF(AND(AC5=TRUE,AD5=TRUE),0.7,0))</f>
        <v>0</v>
      </c>
      <c r="P25" s="590">
        <f>IF($AB$2=R25,IF(OR($AF$7=0,$AF$7=""),ROUND((($L$3+$L$14)/$Y$8*120%*O25)/T25,0),IF($AF$7=예산실적비교표!$C$4,예산실적비교표!G11,ROUND($AF$7*O25,0))),0)</f>
        <v>0</v>
      </c>
      <c r="Q25" s="472">
        <v>0</v>
      </c>
      <c r="R25" s="314" t="s">
        <v>116</v>
      </c>
      <c r="S25" s="315" t="s">
        <v>117</v>
      </c>
      <c r="T25" s="621">
        <f>IF($Y$1=2025,예산평균!AE43,예산평균!AF43)</f>
        <v>88990</v>
      </c>
      <c r="U25" s="589">
        <f t="shared" si="1"/>
        <v>0</v>
      </c>
      <c r="V25" s="480"/>
      <c r="X25" s="343" t="s">
        <v>177</v>
      </c>
      <c r="Y25" s="539">
        <f>SUM($U$4:$U$27)-Y26</f>
        <v>33</v>
      </c>
      <c r="Z25" s="911" t="str">
        <f>IF(예산실적비교표!C15="X","",예산실적비교표!C15)</f>
        <v>국고보조금</v>
      </c>
      <c r="AA25" s="547">
        <f>ROUND(T39/U39,-3)-AA26-AA27</f>
        <v>0</v>
      </c>
      <c r="AB25" s="911" t="str">
        <f>IF(예산실적비교표!E15="X","",예산실적비교표!E15)</f>
        <v>시도보조금</v>
      </c>
      <c r="AC25" s="744">
        <f>ROUND(T40/U40,-3)-AC26-AC27</f>
        <v>0</v>
      </c>
      <c r="AD25" s="911" t="str">
        <f>IF(예산실적비교표!G15="X","",예산실적비교표!G15)</f>
        <v>기타잡수입</v>
      </c>
      <c r="AE25" s="547">
        <f>AI26-SUM(AI28:AJ33)</f>
        <v>1200000</v>
      </c>
      <c r="AF25" s="546"/>
      <c r="AH25" s="1509" t="s">
        <v>490</v>
      </c>
      <c r="AI25" s="1510"/>
      <c r="AJ25" s="1511"/>
      <c r="AP25" s="981" t="str">
        <f>IF(예산실적비교표!AL25&lt;&gt;"",예산실적비교표!AL25,"")</f>
        <v/>
      </c>
      <c r="AQ25" s="982" t="str">
        <f>IF(예산실적비교표!AM25&lt;&gt;"",예산실적비교표!AM25,"")</f>
        <v/>
      </c>
      <c r="AR25" s="983">
        <f>IF(AND(예산실적비교표!AN25&lt;&gt;"",예산실적비교표!AN25&gt;1),예산실적비교표!AN25,0)</f>
        <v>0</v>
      </c>
      <c r="AS25" s="984">
        <f>IF(예산실적비교표!AO25&lt;&gt;"",예산실적비교표!AO25,0)</f>
        <v>0</v>
      </c>
      <c r="AT25" s="971">
        <f t="shared" si="2"/>
        <v>0</v>
      </c>
      <c r="AU25" s="985">
        <f>IF(예산실적비교표!AQ25&lt;&gt;"",예산실적비교표!AQ25,0)</f>
        <v>0</v>
      </c>
      <c r="AV25" s="973">
        <f t="shared" si="5"/>
        <v>0</v>
      </c>
      <c r="AW25" s="974">
        <f>IF(AR25="","",ROUND((AT25*$AT$7)*데이터입력!$AE$14+(AT25*$AU$7)*데이터입력!$AE$14+(AT25*$AU$7*$AV$7)*데이터입력!$AE$14+(AT25*$AW$7)*데이터입력!$AE$14+(AT25*$AX$7)*데이터입력!$AE$14,-1))</f>
        <v>0</v>
      </c>
      <c r="AX25" s="975">
        <f t="shared" si="6"/>
        <v>0</v>
      </c>
      <c r="AY25" s="976">
        <f>IFERROR(IF($AE$2=TRUE,IF(AR25+AS25=0,0,AR25+AS25),ROUND(IF(데이터입력!$AE$14=100%,ROUND(AR25*$AR$1,-3),ROUND(AR25*$AR$1,-3)-ROUND(((AR25*$AR$1)*$AT$4)*(데이터입력!$AE$14-100%)+((AR25*$AR$1)*$AU$4)*(데이터입력!$AE$14-100%)+((AR25*$AR$1)*$AU$4*$AV$4)*(데이터입력!$AE$14-100%)+((AR25*$AR$1)*$AW$4)*(데이터입력!$AE$14-100%),-1)),0)),0)</f>
        <v>0</v>
      </c>
      <c r="AZ25" s="977">
        <f>IFERROR(IF(AR25+AS25=0,0,IF(데이터입력!$AE$12=100%,(AT25),(AT25)+ROUND(AT25*(데이터입력!$AE$12-100%),-1))),0)</f>
        <v>0</v>
      </c>
      <c r="BA25" s="1095" t="str">
        <f>IFERROR(IF(AZ25=0,"",IF(AND(예산실적비교표!AP25&gt;0,예산실적비교표!AW25=0),"",ROUND(AZ25/12,0))),0)</f>
        <v/>
      </c>
      <c r="BB25" s="1096" t="str">
        <f>IF(BA25="","",IF(데이터입력!$O$71="",ROUND(AZ25/12,0),ROUND(데이터입력!$O$71/데이터입력!$Y$8/$BC$11,0)))</f>
        <v/>
      </c>
      <c r="BC25" s="1108"/>
      <c r="BD25" s="1111" t="s">
        <v>739</v>
      </c>
      <c r="BE25" s="1170"/>
    </row>
    <row r="26" spans="1:58" ht="27.75" thickBot="1">
      <c r="A26" s="901">
        <f>IF($AM$1=TRUE,IF(K26="","",SUBTOTAL(2,$K$3:K26)),IF(AND(M26="",N26=""),"",IF(N26="",COUNT($M$3:M26),COUNT($N$3:N26)+200)))</f>
        <v>9</v>
      </c>
      <c r="B26" s="303" t="s">
        <v>488</v>
      </c>
      <c r="C26" s="303" t="s">
        <v>512</v>
      </c>
      <c r="D26" s="302">
        <v>410010201</v>
      </c>
      <c r="E26" s="302" t="s">
        <v>83</v>
      </c>
      <c r="F26" s="302" t="s">
        <v>6</v>
      </c>
      <c r="G26" s="304">
        <f>IFERROR(IF($E26="06",VLOOKUP($B26,예산실적비교표!$O$7:$R$200,2,FALSE),0),0)</f>
        <v>60000</v>
      </c>
      <c r="H26" s="304">
        <f>IFERROR(IF($E26="06",VLOOKUP($C26,세입예산서!$K$3:$X$205,12,FALSE),0),0)</f>
        <v>60000</v>
      </c>
      <c r="I26" s="304">
        <f>IFERROR(IF($E26="07",VLOOKUP($C26,세입예산서!$K$3:$X$205,13,FALSE),0),0)</f>
        <v>0</v>
      </c>
      <c r="J26" s="304">
        <f>IFERROR(IF($E26="05",VLOOKUP($C26,세입예산서!$K$3:$X$205,14,FALSE),0),0)</f>
        <v>0</v>
      </c>
      <c r="K26" s="304">
        <f t="shared" si="0"/>
        <v>0</v>
      </c>
      <c r="L26" s="305">
        <f>IFERROR(IF($AE$2=TRUE,IF($AB$2="",0,IF(ROUNDUP(VLOOKUP($B26,예산실적비교표!$O$7:$R$200,3,FALSE)*$U$54,-2)&lt;10000,10000,ROUNDUP(VLOOKUP($B26,예산실적비교표!$O$7:$R$200,3,FALSE)*$Y$6/($Y$8-(12-$Y$9)),-3)*$Y$8)),VLOOKUP($B26,예산실적비교표!$O$7:$R$200,3,FALSE)),0)</f>
        <v>60000</v>
      </c>
      <c r="M26" s="597">
        <f>IF($AM$1=TRUE,IF(K26="","",IF(IF($AE$2="",IF(K26="","",SUBTOTAL(2,$K$3:K26)),IF(AND(G26&gt;=0,K26=""),"",IF(AND(G26&gt;0,OR(K26&gt;0,K26&lt;0)),SUBTOTAL(2,$K$3:K26),IF(AND(G26=0,OR(K26&gt;0,K26&lt;0)),SUBTOTAL(2,$K$3:K26)+200,""))))&gt;200,"",1)),IF(K26="","",IF(IF($AE$2="",IF(K26="","",SUBTOTAL(2,$K$3:K26)),IF(AND(G26&gt;=0,K26=""),"",IF(AND(G26&gt;0,OR(K26&gt;0,K26&lt;0)),SUBTOTAL(2,$K$3:K26),IF(AND(G26=0,OR(K26&gt;0,K26&lt;0)),SUBTOTAL(2,$K$3:K26)+200,""))))&gt;200,"",1)))</f>
        <v>1</v>
      </c>
      <c r="N26" s="161" t="str">
        <f>IF($AM$1=TRUE,IF(K26="","",IF(IF($AE$2="",IF(K26="","",SUBTOTAL(2,$K$3:K26)),IF(AND(G26&gt;=0,K26=""),"",IF(AND(G26&gt;0,OR(K26&gt;0,K26&lt;0)),SUBTOTAL(2,$K$3:K26),IF(AND(G26=0,OR(K26&gt;0,K26&lt;0)),SUBTOTAL(2,$K$3:K26)+200,""))))&lt;=200,"",2)),IF(K26="","",IF(IF($AE$2="",IF(K26="","",SUBTOTAL(2,$K$3:K26)),IF(AND(G26&gt;=0,K26=""),"",IF(AND(G26&gt;0,OR(K26&gt;0,K26&lt;0)),SUBTOTAL(2,$K$3:K26),IF(AND(G26=0,OR(K26&gt;0,K26&lt;0)),SUBTOTAL(2,$K$3:K26)+200,""))))&lt;=200,"",2)))</f>
        <v/>
      </c>
      <c r="O26" s="460">
        <f>IF(AND(AC5=FALSE,AD5=TRUE),1,IF(AND(AC5=TRUE,AD5=TRUE),0.3,0))</f>
        <v>0</v>
      </c>
      <c r="P26" s="590">
        <f>IF($AB$2=R26,IF(OR($AF$7=0,$AF$7=""),ROUND((($L$3+$L$14)/$Y$8*120%*O26)/T26,0),IF(AF$7=예산실적비교표!$C$4,예산실적비교표!G12,ROUND($AF$7*O26,0))),0)</f>
        <v>0</v>
      </c>
      <c r="Q26" s="472">
        <v>0</v>
      </c>
      <c r="R26" s="314" t="s">
        <v>116</v>
      </c>
      <c r="S26" s="344" t="s">
        <v>118</v>
      </c>
      <c r="T26" s="621">
        <f>IF($Y$1=2025,예산평균!AE44,예산평균!AF44)</f>
        <v>50100</v>
      </c>
      <c r="U26" s="589">
        <f t="shared" si="1"/>
        <v>0</v>
      </c>
      <c r="V26" s="480"/>
      <c r="X26" s="343" t="s">
        <v>179</v>
      </c>
      <c r="Y26" s="539">
        <f>$U$4</f>
        <v>12</v>
      </c>
      <c r="Z26" s="556" t="str">
        <f>IF(예산실적비교표!C16="X","",예산실적비교표!C16)</f>
        <v/>
      </c>
      <c r="AA26" s="750">
        <f>IF($AB$2="",0,IF(Z26="",0,예산실적비교표!D16))</f>
        <v>0</v>
      </c>
      <c r="AB26" s="556" t="str">
        <f>IF(예산실적비교표!E16="X","",예산실적비교표!E16)</f>
        <v/>
      </c>
      <c r="AC26" s="750">
        <f>IF($AB$2="",0,IF(AB26="",0,예산실적비교표!F16))</f>
        <v>0</v>
      </c>
      <c r="AD26" s="556" t="str">
        <f>IF(예산실적비교표!G16="X","",예산실적비교표!G16)</f>
        <v>의료비대납외</v>
      </c>
      <c r="AE26" s="750">
        <f>IF($AB$2="",0,IF(AD26="",0,예산실적비교표!H16))</f>
        <v>400000</v>
      </c>
      <c r="AF26" s="537">
        <f>IF($Y$8&lt;&gt;예산실적비교표!$B$3,$Y$8,예산실적비교표!I16)</f>
        <v>12</v>
      </c>
      <c r="AH26" s="548" t="str">
        <f>AD24</f>
        <v>기타잡수입</v>
      </c>
      <c r="AI26" s="1342">
        <f>세입예산서!Z175</f>
        <v>12000000</v>
      </c>
      <c r="AJ26" s="1343"/>
      <c r="AP26" s="981" t="str">
        <f>IF(예산실적비교표!AL26&lt;&gt;"",예산실적비교표!AL26,"")</f>
        <v/>
      </c>
      <c r="AQ26" s="982" t="str">
        <f>IF(예산실적비교표!AM26&lt;&gt;"",예산실적비교표!AM26,"")</f>
        <v/>
      </c>
      <c r="AR26" s="983">
        <f>IF(AND(예산실적비교표!AN26&lt;&gt;"",예산실적비교표!AN26&gt;1),예산실적비교표!AN26,0)</f>
        <v>0</v>
      </c>
      <c r="AS26" s="984">
        <f>IF(예산실적비교표!AO26&lt;&gt;"",예산실적비교표!AO26,0)</f>
        <v>0</v>
      </c>
      <c r="AT26" s="971">
        <f t="shared" si="2"/>
        <v>0</v>
      </c>
      <c r="AU26" s="985">
        <f>IF(예산실적비교표!AQ26&lt;&gt;"",예산실적비교표!AQ26,0)</f>
        <v>0</v>
      </c>
      <c r="AV26" s="973">
        <f t="shared" si="5"/>
        <v>0</v>
      </c>
      <c r="AW26" s="974">
        <f>IF(AR26="","",ROUND((AT26*$AT$7)*데이터입력!$AE$14+(AT26*$AU$7)*데이터입력!$AE$14+(AT26*$AU$7*$AV$7)*데이터입력!$AE$14+(AT26*$AW$7)*데이터입력!$AE$14+(AT26*$AX$7)*데이터입력!$AE$14,-1))</f>
        <v>0</v>
      </c>
      <c r="AX26" s="975">
        <f t="shared" si="6"/>
        <v>0</v>
      </c>
      <c r="AY26" s="976">
        <f>IFERROR(IF($AE$2=TRUE,IF(AR26+AS26=0,0,AR26+AS26),ROUND(IF(데이터입력!$AE$14=100%,ROUND(AR26*$AR$1,-3),ROUND(AR26*$AR$1,-3)-ROUND(((AR26*$AR$1)*$AT$4)*(데이터입력!$AE$14-100%)+((AR26*$AR$1)*$AU$4)*(데이터입력!$AE$14-100%)+((AR26*$AR$1)*$AU$4*$AV$4)*(데이터입력!$AE$14-100%)+((AR26*$AR$1)*$AW$4)*(데이터입력!$AE$14-100%),-1)),0)),0)</f>
        <v>0</v>
      </c>
      <c r="AZ26" s="977">
        <f>IFERROR(IF(AR26+AS26=0,0,IF(데이터입력!$AE$12=100%,(AT26),(AT26)+ROUND(AT26*(데이터입력!$AE$12-100%),-1))),0)</f>
        <v>0</v>
      </c>
      <c r="BA26" s="1095" t="str">
        <f>IFERROR(IF(AZ26=0,"",IF(AND(예산실적비교표!AP26&gt;0,예산실적비교표!AW26=0),"",ROUND(AZ26/12,0))),0)</f>
        <v/>
      </c>
      <c r="BB26" s="1096" t="str">
        <f>IF(BA26="","",IF(데이터입력!$O$71="",ROUND(AZ26/12,0),ROUND(데이터입력!$O$71/데이터입력!$Y$8/$BC$11,0)))</f>
        <v/>
      </c>
      <c r="BC26" s="1106" t="s">
        <v>220</v>
      </c>
      <c r="BD26" s="1109" t="s">
        <v>736</v>
      </c>
      <c r="BE26" s="1168">
        <f>AI18</f>
        <v>0.66100000000000003</v>
      </c>
    </row>
    <row r="27" spans="1:58" ht="17.25" thickBot="1">
      <c r="A27" s="901" t="str">
        <f>IF($AM$1=TRUE,IF(K27="","",SUBTOTAL(2,$K$3:K27)),IF(AND(M27="",N27=""),"",IF(N27="",COUNT($M$3:M27),COUNT($N$3:N27)+200)))</f>
        <v/>
      </c>
      <c r="B27" s="303" t="s">
        <v>37</v>
      </c>
      <c r="C27" s="303" t="s">
        <v>513</v>
      </c>
      <c r="D27" s="302">
        <v>410010301</v>
      </c>
      <c r="E27" s="302" t="s">
        <v>83</v>
      </c>
      <c r="F27" s="302" t="s">
        <v>6</v>
      </c>
      <c r="G27" s="304">
        <f>IFERROR(IF($E27="06",VLOOKUP($B27,예산실적비교표!$O$7:$R$200,2,FALSE),0),0)</f>
        <v>0</v>
      </c>
      <c r="H27" s="304">
        <f>IFERROR(IF($E27="06",VLOOKUP($C27,세입예산서!$K$3:$X$205,12,FALSE),0),0)</f>
        <v>0</v>
      </c>
      <c r="I27" s="304">
        <f>IFERROR(IF($E27="07",VLOOKUP($C27,세입예산서!$K$3:$X$205,13,FALSE),0),0)</f>
        <v>0</v>
      </c>
      <c r="J27" s="304">
        <f>IFERROR(IF($E27="05",VLOOKUP($C27,세입예산서!$K$3:$X$205,14,FALSE),0),0)</f>
        <v>0</v>
      </c>
      <c r="K27" s="304" t="str">
        <f t="shared" si="0"/>
        <v/>
      </c>
      <c r="L27" s="305">
        <f>IFERROR(IF($AB$2="",0,ROUNDUP(VLOOKUP($B27,예산실적비교표!$O$7:$R$200,3,FALSE)/($Y$8-(12-$Y$9)),-2)*$Y$8),0)</f>
        <v>0</v>
      </c>
      <c r="M27" s="597" t="str">
        <f>IF($AM$1=TRUE,IF(K27="","",IF(IF($AE$2="",IF(K27="","",SUBTOTAL(2,$K$3:K27)),IF(AND(G27&gt;=0,K27=""),"",IF(AND(G27&gt;0,OR(K27&gt;0,K27&lt;0)),SUBTOTAL(2,$K$3:K27),IF(AND(G27=0,OR(K27&gt;0,K27&lt;0)),SUBTOTAL(2,$K$3:K27)+200,""))))&gt;200,"",1)),IF(K27="","",IF(IF($AE$2="",IF(K27="","",SUBTOTAL(2,$K$3:K27)),IF(AND(G27&gt;=0,K27=""),"",IF(AND(G27&gt;0,OR(K27&gt;0,K27&lt;0)),SUBTOTAL(2,$K$3:K27),IF(AND(G27=0,OR(K27&gt;0,K27&lt;0)),SUBTOTAL(2,$K$3:K27)+200,""))))&gt;200,"",1)))</f>
        <v/>
      </c>
      <c r="N27" s="161" t="str">
        <f>IF($AM$1=TRUE,IF(K27="","",IF(IF($AE$2="",IF(K27="","",SUBTOTAL(2,$K$3:K27)),IF(AND(G27&gt;=0,K27=""),"",IF(AND(G27&gt;0,OR(K27&gt;0,K27&lt;0)),SUBTOTAL(2,$K$3:K27),IF(AND(G27=0,OR(K27&gt;0,K27&lt;0)),SUBTOTAL(2,$K$3:K27)+200,""))))&lt;=200,"",2)),IF(K27="","",IF(IF($AE$2="",IF(K27="","",SUBTOTAL(2,$K$3:K27)),IF(AND(G27&gt;=0,K27=""),"",IF(AND(G27&gt;0,OR(K27&gt;0,K27&lt;0)),SUBTOTAL(2,$K$3:K27),IF(AND(G27=0,OR(K27&gt;0,K27&lt;0)),SUBTOTAL(2,$K$3:K27)+200,""))))&lt;=200,"",2)))</f>
        <v/>
      </c>
      <c r="O27" s="460">
        <v>1</v>
      </c>
      <c r="P27" s="590">
        <f>IF($AB$2=R27,IF(OR($AF$7=0,$AF$7=""),ROUND((($L$3+$L$14)/$Y$8*120%*O27)/T27,0),IF($AF$7=예산실적비교표!$C$4,예산실적비교표!H8,ROUND($AF$7*O27,0))),0)</f>
        <v>0</v>
      </c>
      <c r="Q27" s="472">
        <v>0</v>
      </c>
      <c r="R27" s="346" t="s">
        <v>119</v>
      </c>
      <c r="S27" s="344" t="s">
        <v>120</v>
      </c>
      <c r="T27" s="621">
        <f>IF($Y$1=2025,예산평균!AE45,예산평균!AF45)</f>
        <v>64690</v>
      </c>
      <c r="U27" s="589">
        <f t="shared" si="1"/>
        <v>0</v>
      </c>
      <c r="V27" s="480"/>
      <c r="X27" s="343" t="s">
        <v>180</v>
      </c>
      <c r="Y27" s="540">
        <f>$BD$63</f>
        <v>27</v>
      </c>
      <c r="Z27" s="556" t="str">
        <f>IF(예산실적비교표!C17="X","",예산실적비교표!C17)</f>
        <v/>
      </c>
      <c r="AA27" s="750">
        <f>IF($AB$2="",0,IF(Z27="",0,예산실적비교표!D17))</f>
        <v>0</v>
      </c>
      <c r="AB27" s="556" t="str">
        <f>IF(예산실적비교표!E17="X","",예산실적비교표!E17)</f>
        <v/>
      </c>
      <c r="AC27" s="750">
        <f>IF($AB$2="",0,IF(AB27="",0,예산실적비교표!F17))</f>
        <v>0</v>
      </c>
      <c r="AD27" s="556" t="str">
        <f>IF(예산실적비교표!G17="X","",예산실적비교표!G17)</f>
        <v>각종근로지원금</v>
      </c>
      <c r="AE27" s="750">
        <f>IF($AB$2="",0,IF(AD27="",0,예산실적비교표!H17))</f>
        <v>500000</v>
      </c>
      <c r="AF27" s="537">
        <f>IF($Y$8&lt;&gt;예산실적비교표!$B$3,$Y$8,예산실적비교표!I17)</f>
        <v>12</v>
      </c>
      <c r="AH27" s="278" t="str">
        <f>세입예산서!L176</f>
        <v xml:space="preserve">    - 기타잡수입</v>
      </c>
      <c r="AI27" s="1344">
        <f>세입예산서!V176</f>
        <v>1200000</v>
      </c>
      <c r="AJ27" s="1345"/>
      <c r="AP27" s="981" t="str">
        <f>IF(예산실적비교표!AL27&lt;&gt;"",예산실적비교표!AL27,"")</f>
        <v/>
      </c>
      <c r="AQ27" s="982" t="str">
        <f>IF(예산실적비교표!AM27&lt;&gt;"",예산실적비교표!AM27,"")</f>
        <v/>
      </c>
      <c r="AR27" s="983">
        <f>IF(AND(예산실적비교표!AN27&lt;&gt;"",예산실적비교표!AN27&gt;1),예산실적비교표!AN27,0)</f>
        <v>0</v>
      </c>
      <c r="AS27" s="984">
        <f>IF(예산실적비교표!AO27&lt;&gt;"",예산실적비교표!AO27,0)</f>
        <v>0</v>
      </c>
      <c r="AT27" s="971">
        <f t="shared" si="2"/>
        <v>0</v>
      </c>
      <c r="AU27" s="985">
        <f>IF(예산실적비교표!AQ27&lt;&gt;"",예산실적비교표!AQ27,0)</f>
        <v>0</v>
      </c>
      <c r="AV27" s="973">
        <f t="shared" si="5"/>
        <v>0</v>
      </c>
      <c r="AW27" s="974">
        <f>IF(AR27="","",ROUND((AT27*$AT$7)*데이터입력!$AE$14+(AT27*$AU$7)*데이터입력!$AE$14+(AT27*$AU$7*$AV$7)*데이터입력!$AE$14+(AT27*$AW$7)*데이터입력!$AE$14+(AT27*$AX$7)*데이터입력!$AE$14,-1))</f>
        <v>0</v>
      </c>
      <c r="AX27" s="975">
        <f t="shared" si="6"/>
        <v>0</v>
      </c>
      <c r="AY27" s="976">
        <f>IFERROR(IF($AE$2=TRUE,IF(AR27+AS27=0,0,AR27+AS27),ROUND(IF(데이터입력!$AE$14=100%,ROUND(AR27*$AR$1,-3),ROUND(AR27*$AR$1,-3)-ROUND(((AR27*$AR$1)*$AT$4)*(데이터입력!$AE$14-100%)+((AR27*$AR$1)*$AU$4)*(데이터입력!$AE$14-100%)+((AR27*$AR$1)*$AU$4*$AV$4)*(데이터입력!$AE$14-100%)+((AR27*$AR$1)*$AW$4)*(데이터입력!$AE$14-100%),-1)),0)),0)</f>
        <v>0</v>
      </c>
      <c r="AZ27" s="977">
        <f>IFERROR(IF(AR27+AS27=0,0,IF(데이터입력!$AE$12=100%,(AT27),(AT27)+ROUND(AT27*(데이터입력!$AE$12-100%),-1))),0)</f>
        <v>0</v>
      </c>
      <c r="BA27" s="1095" t="str">
        <f>IFERROR(IF(AZ27=0,"",IF(AND(예산실적비교표!AP27&gt;0,예산실적비교표!AW27=0),"",ROUND(AZ27/12,0))),0)</f>
        <v/>
      </c>
      <c r="BB27" s="1096" t="str">
        <f>IF(BA27="","",IF(데이터입력!$O$71="",ROUND(AZ27/12,0),ROUND(데이터입력!$O$71/데이터입력!$Y$8/$BC$11,0)))</f>
        <v/>
      </c>
      <c r="BC27" s="1107"/>
      <c r="BD27" s="1110" t="s">
        <v>737</v>
      </c>
      <c r="BE27" s="1169"/>
    </row>
    <row r="28" spans="1:58" ht="27.75" customHeight="1" thickBot="1">
      <c r="A28" s="901">
        <f>IF($AM$1=TRUE,IF(K28="","",SUBTOTAL(2,$K$3:K28)),IF(AND(M28="",N28=""),"",IF(N28="",COUNT($M$3:M28),COUNT($N$3:N28)+200)))</f>
        <v>10</v>
      </c>
      <c r="B28" s="303" t="s">
        <v>38</v>
      </c>
      <c r="C28" s="303" t="s">
        <v>514</v>
      </c>
      <c r="D28" s="302">
        <v>410010401</v>
      </c>
      <c r="E28" s="302" t="s">
        <v>83</v>
      </c>
      <c r="F28" s="302" t="s">
        <v>6</v>
      </c>
      <c r="G28" s="304">
        <f>IFERROR(IF($E28="06",VLOOKUP($B28,예산실적비교표!$O$7:$R$200,2,FALSE),0),0)</f>
        <v>12000000</v>
      </c>
      <c r="H28" s="304">
        <f>IFERROR(IF($E28="06",VLOOKUP($C28,세입예산서!$K$3:$X$205,12,FALSE),0),0)</f>
        <v>12000000</v>
      </c>
      <c r="I28" s="304">
        <f>IFERROR(IF($E28="07",VLOOKUP($C28,세입예산서!$K$3:$X$205,13,FALSE),0),0)</f>
        <v>0</v>
      </c>
      <c r="J28" s="304">
        <f>IFERROR(IF($E28="05",VLOOKUP($C28,세입예산서!$K$3:$X$205,14,FALSE),0),0)</f>
        <v>0</v>
      </c>
      <c r="K28" s="304">
        <f t="shared" si="0"/>
        <v>0</v>
      </c>
      <c r="L28" s="305">
        <f>IFERROR(IF($AB$2="",0,ROUNDUP(VLOOKUP($B28,예산실적비교표!$O$7:$R$200,3,FALSE)/($Y$8-(12-$Y$9)),-2)*$Y$8),0)</f>
        <v>12000000</v>
      </c>
      <c r="M28" s="597">
        <f>IF($AM$1=TRUE,IF(K28="","",IF(IF($AE$2="",IF(K28="","",SUBTOTAL(2,$K$3:K28)),IF(AND(G28&gt;=0,K28=""),"",IF(AND(G28&gt;0,OR(K28&gt;0,K28&lt;0)),SUBTOTAL(2,$K$3:K28),IF(AND(G28=0,OR(K28&gt;0,K28&lt;0)),SUBTOTAL(2,$K$3:K28)+200,""))))&gt;200,"",1)),IF(K28="","",IF(IF($AE$2="",IF(K28="","",SUBTOTAL(2,$K$3:K28)),IF(AND(G28&gt;=0,K28=""),"",IF(AND(G28&gt;0,OR(K28&gt;0,K28&lt;0)),SUBTOTAL(2,$K$3:K28),IF(AND(G28=0,OR(K28&gt;0,K28&lt;0)),SUBTOTAL(2,$K$3:K28)+200,""))))&gt;200,"",1)))</f>
        <v>1</v>
      </c>
      <c r="N28" s="161" t="str">
        <f>IF($AM$1=TRUE,IF(K28="","",IF(IF($AE$2="",IF(K28="","",SUBTOTAL(2,$K$3:K28)),IF(AND(G28&gt;=0,K28=""),"",IF(AND(G28&gt;0,OR(K28&gt;0,K28&lt;0)),SUBTOTAL(2,$K$3:K28),IF(AND(G28=0,OR(K28&gt;0,K28&lt;0)),SUBTOTAL(2,$K$3:K28)+200,""))))&lt;=200,"",2)),IF(K28="","",IF(IF($AE$2="",IF(K28="","",SUBTOTAL(2,$K$3:K28)),IF(AND(G28&gt;=0,K28=""),"",IF(AND(G28&gt;0,OR(K28&gt;0,K28&lt;0)),SUBTOTAL(2,$K$3:K28),IF(AND(G28=0,OR(K28&gt;0,K28&lt;0)),SUBTOTAL(2,$K$3:K28)+200,""))))&lt;=200,"",2)))</f>
        <v/>
      </c>
      <c r="O28" s="461" t="s">
        <v>121</v>
      </c>
      <c r="P28" s="313"/>
      <c r="Q28" s="472">
        <f>$U$4</f>
        <v>12</v>
      </c>
      <c r="R28" s="346" t="s">
        <v>122</v>
      </c>
      <c r="S28" s="344" t="s">
        <v>105</v>
      </c>
      <c r="T28" s="621">
        <f>IF($AB$2=$Y$4,$T$12,$T$9)</f>
        <v>81540</v>
      </c>
      <c r="U28" s="347">
        <f>Q28</f>
        <v>12</v>
      </c>
      <c r="V28" s="479">
        <f>V7</f>
        <v>30.4</v>
      </c>
      <c r="X28" s="343" t="s">
        <v>181</v>
      </c>
      <c r="Y28" s="540">
        <f>$BD$11</f>
        <v>2</v>
      </c>
      <c r="Z28" s="345" t="s">
        <v>212</v>
      </c>
      <c r="AA28" s="536">
        <f>ROUND(세입예산서!$V$72/$U$41,-3)</f>
        <v>0</v>
      </c>
      <c r="AB28" s="345" t="s">
        <v>213</v>
      </c>
      <c r="AC28" s="544">
        <f>ROUND(세입예산서!V80/$U$42,-3)</f>
        <v>0</v>
      </c>
      <c r="AD28" s="556" t="str">
        <f>IF(예산실적비교표!G18="X","",예산실적비교표!G18)</f>
        <v/>
      </c>
      <c r="AE28" s="750">
        <f>IF($AB$2="",0,IF(AD28="",0,예산실적비교표!H18))</f>
        <v>0</v>
      </c>
      <c r="AF28" s="537">
        <f>IF($Y$8&lt;&gt;예산실적비교표!$B$3,$Y$8,예산실적비교표!I18)</f>
        <v>12</v>
      </c>
      <c r="AH28" s="279" t="str">
        <f>세입예산서!L177</f>
        <v xml:space="preserve">    - 의료비대납외</v>
      </c>
      <c r="AI28" s="1346">
        <f>세입예산서!V177</f>
        <v>4800000</v>
      </c>
      <c r="AJ28" s="1347"/>
      <c r="AP28" s="981" t="str">
        <f>IF(예산실적비교표!AL28&lt;&gt;"",예산실적비교표!AL28,"")</f>
        <v/>
      </c>
      <c r="AQ28" s="982" t="str">
        <f>IF(예산실적비교표!AM28&lt;&gt;"",예산실적비교표!AM28,"")</f>
        <v/>
      </c>
      <c r="AR28" s="983">
        <f>IF(AND(예산실적비교표!AN28&lt;&gt;"",예산실적비교표!AN28&gt;1),예산실적비교표!AN28,0)</f>
        <v>0</v>
      </c>
      <c r="AS28" s="984">
        <f>IF(예산실적비교표!AO28&lt;&gt;"",예산실적비교표!AO28,0)</f>
        <v>0</v>
      </c>
      <c r="AT28" s="971">
        <f t="shared" si="2"/>
        <v>0</v>
      </c>
      <c r="AU28" s="985">
        <f>IF(예산실적비교표!AQ28&lt;&gt;"",예산실적비교표!AQ28,0)</f>
        <v>0</v>
      </c>
      <c r="AV28" s="973">
        <f t="shared" si="5"/>
        <v>0</v>
      </c>
      <c r="AW28" s="974">
        <f>IF(AR28="","",ROUND((AT28*$AT$7)*데이터입력!$AE$14+(AT28*$AU$7)*데이터입력!$AE$14+(AT28*$AU$7*$AV$7)*데이터입력!$AE$14+(AT28*$AW$7)*데이터입력!$AE$14+(AT28*$AX$7)*데이터입력!$AE$14,-1))</f>
        <v>0</v>
      </c>
      <c r="AX28" s="975">
        <f t="shared" si="6"/>
        <v>0</v>
      </c>
      <c r="AY28" s="976">
        <f>IFERROR(IF($AE$2=TRUE,IF(AR28+AS28=0,0,AR28+AS28),ROUND(IF(데이터입력!$AE$14=100%,ROUND(AR28*$AR$1,-3),ROUND(AR28*$AR$1,-3)-ROUND(((AR28*$AR$1)*$AT$4)*(데이터입력!$AE$14-100%)+((AR28*$AR$1)*$AU$4)*(데이터입력!$AE$14-100%)+((AR28*$AR$1)*$AU$4*$AV$4)*(데이터입력!$AE$14-100%)+((AR28*$AR$1)*$AW$4)*(데이터입력!$AE$14-100%),-1)),0)),0)</f>
        <v>0</v>
      </c>
      <c r="AZ28" s="977">
        <f>IFERROR(IF(AR28+AS28=0,0,IF(데이터입력!$AE$12=100%,(AT28),(AT28)+ROUND(AT28*(데이터입력!$AE$12-100%),-1))),0)</f>
        <v>0</v>
      </c>
      <c r="BA28" s="1095" t="str">
        <f>IFERROR(IF(AZ28=0,"",IF(AND(예산실적비교표!AP28&gt;0,예산실적비교표!AW28=0),"",ROUND(AZ28/12,0))),0)</f>
        <v/>
      </c>
      <c r="BB28" s="1096" t="str">
        <f>IF(BA28="","",IF(데이터입력!$O$71="",ROUND(AZ28/12,0),ROUND(데이터입력!$O$71/데이터입력!$Y$8/$BC$11,0)))</f>
        <v/>
      </c>
      <c r="BC28" s="1107"/>
      <c r="BD28" s="1110" t="s">
        <v>732</v>
      </c>
      <c r="BE28" s="1169"/>
    </row>
    <row r="29" spans="1:58" ht="17.25" thickBot="1">
      <c r="A29" s="902" t="str">
        <f>IF($AM$1=TRUE,IF(K29="","",SUBTOTAL(2,$K$3:K29)),IF(AND(M29="",N29=""),"",IF(N29="",COUNT($M$3:M29),COUNT($N$3:N29)+200)))</f>
        <v/>
      </c>
      <c r="B29" s="349" t="s">
        <v>13</v>
      </c>
      <c r="C29" s="349" t="s">
        <v>515</v>
      </c>
      <c r="D29" s="348">
        <v>404010101</v>
      </c>
      <c r="E29" s="348" t="s">
        <v>84</v>
      </c>
      <c r="F29" s="348" t="s">
        <v>14</v>
      </c>
      <c r="G29" s="350">
        <f>IFERROR(IF($E29="07",VLOOKUP($B29,예산실적비교표!$X$7:$Z$200,2,FALSE),0),0)</f>
        <v>0</v>
      </c>
      <c r="H29" s="350">
        <f>IFERROR(IF($E29="06",VLOOKUP($C29,세입예산서!$K$3:$X$205,12,FALSE),0),0)</f>
        <v>0</v>
      </c>
      <c r="I29" s="350">
        <f>IFERROR(IF($E29="07",VLOOKUP($C29,세입예산서!$K$3:$X$205,13,FALSE),0),0)</f>
        <v>0</v>
      </c>
      <c r="J29" s="350">
        <f>IFERROR(IF($E29="05",VLOOKUP($C29,세입예산서!$K$3:$X$205,14,FALSE),0),0)</f>
        <v>0</v>
      </c>
      <c r="K29" s="350" t="str">
        <f t="shared" si="0"/>
        <v/>
      </c>
      <c r="L29" s="351">
        <f>IFERROR(IF($AB$2="",0,ROUNDUP(VLOOKUP($B29,예산실적비교표!$X$7:$Z$200,3,FALSE)*$Y$6/($Y$8-(12-$Y$10)),-2)*$Y$8),0)</f>
        <v>0</v>
      </c>
      <c r="M29" s="597" t="str">
        <f>IF($AM$1=TRUE,IF(K29="","",IF(IF($AE$2="",IF(K29="","",SUBTOTAL(2,$K$3:K29)),IF(AND(G29&gt;=0,K29=""),"",IF(AND(G29&gt;0,OR(K29&gt;0,K29&lt;0)),SUBTOTAL(2,$K$3:K29),IF(AND(G29=0,OR(K29&gt;0,K29&lt;0)),SUBTOTAL(2,$K$3:K29)+200,""))))&gt;200,"",1)),IF(K29="","",IF(IF($AE$2="",IF(K29="","",SUBTOTAL(2,$K$3:K29)),IF(AND(G29&gt;=0,K29=""),"",IF(AND(G29&gt;0,OR(K29&gt;0,K29&lt;0)),SUBTOTAL(2,$K$3:K29),IF(AND(G29=0,OR(K29&gt;0,K29&lt;0)),SUBTOTAL(2,$K$3:K29)+200,""))))&gt;200,"",1)))</f>
        <v/>
      </c>
      <c r="N29" s="161" t="str">
        <f>IF($AM$1=TRUE,IF(K29="","",IF(IF($AE$2="",IF(K29="","",SUBTOTAL(2,$K$3:K29)),IF(AND(G29&gt;=0,K29=""),"",IF(AND(G29&gt;0,OR(K29&gt;0,K29&lt;0)),SUBTOTAL(2,$K$3:K29),IF(AND(G29=0,OR(K29&gt;0,K29&lt;0)),SUBTOTAL(2,$K$3:K29)+200,""))))&lt;=200,"",2)),IF(K29="","",IF(IF($AE$2="",IF(K29="","",SUBTOTAL(2,$K$3:K29)),IF(AND(G29&gt;=0,K29=""),"",IF(AND(G29&gt;0,OR(K29&gt;0,K29&lt;0)),SUBTOTAL(2,$K$3:K29),IF(AND(G29=0,OR(K29&gt;0,K29&lt;0)),SUBTOTAL(2,$K$3:K29)+200,""))))&lt;=200,"",2)))</f>
        <v/>
      </c>
      <c r="O29" s="462"/>
      <c r="P29" s="352">
        <f>IF($AB$2=R29,ROUND((($L$3+$L$14)/$Y$8*120%),0),0)</f>
        <v>0</v>
      </c>
      <c r="Q29" s="473">
        <v>0</v>
      </c>
      <c r="R29" s="314" t="s">
        <v>123</v>
      </c>
      <c r="S29" s="344"/>
      <c r="T29" s="622">
        <f>IFERROR(IF(O29=0,ROUND(P29/U29,-2),O29),0)</f>
        <v>0</v>
      </c>
      <c r="U29" s="926">
        <f>IF(Q29=0,예산실적비교표!H10,Q29)</f>
        <v>1</v>
      </c>
      <c r="V29" s="480"/>
      <c r="X29" s="353"/>
      <c r="Y29" s="541"/>
      <c r="Z29" s="911" t="str">
        <f>IF(예산실적비교표!C19="X","",예산실적비교표!C19)</f>
        <v>시군구보조금</v>
      </c>
      <c r="AA29" s="547">
        <f>ROUND(T41/U41,-3)-AA30-AA31</f>
        <v>0</v>
      </c>
      <c r="AB29" s="911" t="str">
        <f>IF(예산실적비교표!E19="X","",예산실적비교표!E19)</f>
        <v>기타보조금</v>
      </c>
      <c r="AC29" s="547">
        <f>ROUND(T42/U42,-3)-AC30-AC31</f>
        <v>0</v>
      </c>
      <c r="AD29" s="556" t="str">
        <f>IF(예산실적비교표!G19="X","",예산실적비교표!G19)</f>
        <v/>
      </c>
      <c r="AE29" s="750">
        <f>IF($AB$2="",0,IF(AD29="",0,예산실적비교표!H19))</f>
        <v>0</v>
      </c>
      <c r="AF29" s="537">
        <f>IF($Y$8&lt;&gt;예산실적비교표!$B$3,$Y$8,예산실적비교표!I19)</f>
        <v>12</v>
      </c>
      <c r="AH29" s="279" t="str">
        <f>세입예산서!L178</f>
        <v xml:space="preserve">    - 각종근로지원금</v>
      </c>
      <c r="AI29" s="1346">
        <f>세입예산서!V178</f>
        <v>6000000</v>
      </c>
      <c r="AJ29" s="1347"/>
      <c r="AP29" s="981" t="str">
        <f>IF(예산실적비교표!AL29&lt;&gt;"",예산실적비교표!AL29,"")</f>
        <v/>
      </c>
      <c r="AQ29" s="982" t="str">
        <f>IF(예산실적비교표!AM29&lt;&gt;"",예산실적비교표!AM29,"")</f>
        <v/>
      </c>
      <c r="AR29" s="983">
        <f>IF(AND(예산실적비교표!AN29&lt;&gt;"",예산실적비교표!AN29&gt;1),예산실적비교표!AN29,0)</f>
        <v>0</v>
      </c>
      <c r="AS29" s="984">
        <f>IF(예산실적비교표!AO29&lt;&gt;"",예산실적비교표!AO29,0)</f>
        <v>0</v>
      </c>
      <c r="AT29" s="971">
        <f t="shared" si="2"/>
        <v>0</v>
      </c>
      <c r="AU29" s="985">
        <f>IF(예산실적비교표!AQ29&lt;&gt;"",예산실적비교표!AQ29,0)</f>
        <v>0</v>
      </c>
      <c r="AV29" s="973">
        <f t="shared" si="5"/>
        <v>0</v>
      </c>
      <c r="AW29" s="974">
        <f>IF(AR29="","",ROUND((AT29*$AT$7)*데이터입력!$AE$14+(AT29*$AU$7)*데이터입력!$AE$14+(AT29*$AU$7*$AV$7)*데이터입력!$AE$14+(AT29*$AW$7)*데이터입력!$AE$14+(AT29*$AX$7)*데이터입력!$AE$14,-1))</f>
        <v>0</v>
      </c>
      <c r="AX29" s="975">
        <f t="shared" si="6"/>
        <v>0</v>
      </c>
      <c r="AY29" s="976">
        <f>IFERROR(IF($AE$2=TRUE,IF(AR29+AS29=0,0,AR29+AS29),ROUND(IF(데이터입력!$AE$14=100%,ROUND(AR29*$AR$1,-3),ROUND(AR29*$AR$1,-3)-ROUND(((AR29*$AR$1)*$AT$4)*(데이터입력!$AE$14-100%)+((AR29*$AR$1)*$AU$4)*(데이터입력!$AE$14-100%)+((AR29*$AR$1)*$AU$4*$AV$4)*(데이터입력!$AE$14-100%)+((AR29*$AR$1)*$AW$4)*(데이터입력!$AE$14-100%),-1)),0)),0)</f>
        <v>0</v>
      </c>
      <c r="AZ29" s="977">
        <f>IFERROR(IF(AR29+AS29=0,0,IF(데이터입력!$AE$12=100%,(AT29),(AT29)+ROUND(AT29*(데이터입력!$AE$12-100%),-1))),0)</f>
        <v>0</v>
      </c>
      <c r="BA29" s="1095" t="str">
        <f>IFERROR(IF(AZ29=0,"",IF(AND(예산실적비교표!AP29&gt;0,예산실적비교표!AW29=0),"",ROUND(AZ29/12,0))),0)</f>
        <v/>
      </c>
      <c r="BB29" s="1096" t="str">
        <f>IF(BA29="","",IF(데이터입력!$O$71="",ROUND(AZ29/12,0),ROUND(데이터입력!$O$71/데이터입력!$Y$8/$BC$11,0)))</f>
        <v/>
      </c>
      <c r="BC29" s="1108"/>
      <c r="BD29" s="1111" t="s">
        <v>738</v>
      </c>
      <c r="BE29" s="1170"/>
    </row>
    <row r="30" spans="1:58">
      <c r="A30" s="902" t="str">
        <f>IF($AM$1=TRUE,IF(K30="","",SUBTOTAL(2,$K$3:K30)),IF(AND(M30="",N30=""),"",IF(N30="",COUNT($M$3:M30),COUNT($N$3:N30)+200)))</f>
        <v/>
      </c>
      <c r="B30" s="349" t="s">
        <v>15</v>
      </c>
      <c r="C30" s="349" t="s">
        <v>516</v>
      </c>
      <c r="D30" s="348">
        <v>404010201</v>
      </c>
      <c r="E30" s="348" t="s">
        <v>84</v>
      </c>
      <c r="F30" s="348" t="s">
        <v>14</v>
      </c>
      <c r="G30" s="350">
        <f>IFERROR(IF($E30="07",VLOOKUP($B30,예산실적비교표!$X$7:$Z$200,2,FALSE),0),0)</f>
        <v>0</v>
      </c>
      <c r="H30" s="350">
        <f>IFERROR(IF($E30="06",VLOOKUP($C30,세입예산서!$K$3:$X$205,12,FALSE),0),0)</f>
        <v>0</v>
      </c>
      <c r="I30" s="350">
        <f>IFERROR(IF($E30="07",VLOOKUP($C30,세입예산서!$K$3:$X$205,13,FALSE),0),0)</f>
        <v>0</v>
      </c>
      <c r="J30" s="350">
        <f>IFERROR(IF($E30="05",VLOOKUP($C30,세입예산서!$K$3:$X$205,14,FALSE),0),0)</f>
        <v>0</v>
      </c>
      <c r="K30" s="350" t="str">
        <f t="shared" si="0"/>
        <v/>
      </c>
      <c r="L30" s="351">
        <f>IFERROR(IF($AB$2="",0,ROUNDUP(VLOOKUP($B30,예산실적비교표!$X$7:$Z$200,3,FALSE)*$Y$6/($Y$8-(12-$Y$10)),-2)*$Y$8),0)</f>
        <v>0</v>
      </c>
      <c r="M30" s="597" t="str">
        <f>IF($AM$1=TRUE,IF(K30="","",IF(IF($AE$2="",IF(K30="","",SUBTOTAL(2,$K$3:K30)),IF(AND(G30&gt;=0,K30=""),"",IF(AND(G30&gt;0,OR(K30&gt;0,K30&lt;0)),SUBTOTAL(2,$K$3:K30),IF(AND(G30=0,OR(K30&gt;0,K30&lt;0)),SUBTOTAL(2,$K$3:K30)+200,""))))&gt;200,"",1)),IF(K30="","",IF(IF($AE$2="",IF(K30="","",SUBTOTAL(2,$K$3:K30)),IF(AND(G30&gt;=0,K30=""),"",IF(AND(G30&gt;0,OR(K30&gt;0,K30&lt;0)),SUBTOTAL(2,$K$3:K30),IF(AND(G30=0,OR(K30&gt;0,K30&lt;0)),SUBTOTAL(2,$K$3:K30)+200,""))))&gt;200,"",1)))</f>
        <v/>
      </c>
      <c r="N30" s="161" t="str">
        <f>IF($AM$1=TRUE,IF(K30="","",IF(IF($AE$2="",IF(K30="","",SUBTOTAL(2,$K$3:K30)),IF(AND(G30&gt;=0,K30=""),"",IF(AND(G30&gt;0,OR(K30&gt;0,K30&lt;0)),SUBTOTAL(2,$K$3:K30),IF(AND(G30=0,OR(K30&gt;0,K30&lt;0)),SUBTOTAL(2,$K$3:K30)+200,""))))&lt;=200,"",2)),IF(K30="","",IF(IF($AE$2="",IF(K30="","",SUBTOTAL(2,$K$3:K30)),IF(AND(G30&gt;=0,K30=""),"",IF(AND(G30&gt;0,OR(K30&gt;0,K30&lt;0)),SUBTOTAL(2,$K$3:K30),IF(AND(G30=0,OR(K30&gt;0,K30&lt;0)),SUBTOTAL(2,$K$3:K30)+200,""))))&lt;=200,"",2)))</f>
        <v/>
      </c>
      <c r="O30" s="465"/>
      <c r="P30" s="1335">
        <f>IFERROR(IF($Y$1=2026,ROUNDUP(Y27*0.9,0),예산실적비교표!B18),0)</f>
        <v>25</v>
      </c>
      <c r="Q30" s="472">
        <v>6</v>
      </c>
      <c r="R30" s="314" t="str">
        <f>IF(Y1=2026,"장기근속수당(1-2년차)","장기근속수당")</f>
        <v>장기근속수당(1-2년차)</v>
      </c>
      <c r="S30" s="315"/>
      <c r="T30" s="1336">
        <f>IFERROR(IF($Y$1=2025,60000,50000),50000)</f>
        <v>50000</v>
      </c>
      <c r="U30" s="309">
        <f>IF(Q30=0,IF($Y$1=2025,0,IF(예산실적비교표!B18=0,P30-U31-U32-U33,예산실적비교표!B18)),Q30)</f>
        <v>6</v>
      </c>
      <c r="V30" s="1337"/>
      <c r="X30" s="354" t="s">
        <v>245</v>
      </c>
      <c r="Y30" s="542">
        <f>IFERROR(IF(AH5=TRUE,ROUNDUP($Y$24/VLOOKUP(AB2,$AH$17:$AK$23,4,FALSE),0),ROUNDUP($Y$24/VLOOKUP(AB2,$AH$17:$AJ$23,3,FALSE),0)),0)</f>
        <v>22</v>
      </c>
      <c r="Z30" s="556" t="str">
        <f>IF(예산실적비교표!C20="X","",예산실적비교표!C20)</f>
        <v/>
      </c>
      <c r="AA30" s="750">
        <f>IF($AB$2="",0,IF(Z30="",0,예산실적비교표!D20))</f>
        <v>0</v>
      </c>
      <c r="AB30" s="556" t="str">
        <f>IF(예산실적비교표!E20="X","",예산실적비교표!E20)</f>
        <v/>
      </c>
      <c r="AC30" s="750">
        <f>IF($AB$2="",0,IF(AB30="",0,예산실적비교표!F20))</f>
        <v>0</v>
      </c>
      <c r="AD30" s="556" t="str">
        <f>IF(예산실적비교표!G20="X","",예산실적비교표!G20)</f>
        <v/>
      </c>
      <c r="AE30" s="750">
        <f>IF($AB$2="",0,IF(AD30="",0,예산실적비교표!H20))</f>
        <v>0</v>
      </c>
      <c r="AF30" s="537">
        <f>IF($Y$8&lt;&gt;예산실적비교표!$B$3,$Y$8,예산실적비교표!I20)</f>
        <v>12</v>
      </c>
      <c r="AH30" s="279" t="str">
        <f>세입예산서!L179</f>
        <v xml:space="preserve">    - </v>
      </c>
      <c r="AI30" s="1346">
        <f>세입예산서!V179</f>
        <v>0</v>
      </c>
      <c r="AJ30" s="1347"/>
      <c r="AP30" s="981" t="str">
        <f>IF(예산실적비교표!AL30&lt;&gt;"",예산실적비교표!AL30,"")</f>
        <v/>
      </c>
      <c r="AQ30" s="982" t="str">
        <f>IF(예산실적비교표!AM30&lt;&gt;"",예산실적비교표!AM30,"")</f>
        <v/>
      </c>
      <c r="AR30" s="983">
        <f>IF(AND(예산실적비교표!AN30&lt;&gt;"",예산실적비교표!AN30&gt;1),예산실적비교표!AN30,0)</f>
        <v>0</v>
      </c>
      <c r="AS30" s="984">
        <f>IF(예산실적비교표!AO30&lt;&gt;"",예산실적비교표!AO30,0)</f>
        <v>0</v>
      </c>
      <c r="AT30" s="971">
        <f t="shared" si="2"/>
        <v>0</v>
      </c>
      <c r="AU30" s="985">
        <f>IF(예산실적비교표!AQ30&lt;&gt;"",예산실적비교표!AQ30,0)</f>
        <v>0</v>
      </c>
      <c r="AV30" s="973">
        <f t="shared" si="5"/>
        <v>0</v>
      </c>
      <c r="AW30" s="974">
        <f>IF(AR30="","",ROUND((AT30*$AT$7)*데이터입력!$AE$14+(AT30*$AU$7)*데이터입력!$AE$14+(AT30*$AU$7*$AV$7)*데이터입력!$AE$14+(AT30*$AW$7)*데이터입력!$AE$14+(AT30*$AX$7)*데이터입력!$AE$14,-1))</f>
        <v>0</v>
      </c>
      <c r="AX30" s="975">
        <f t="shared" si="6"/>
        <v>0</v>
      </c>
      <c r="AY30" s="976">
        <f>IFERROR(IF($AE$2=TRUE,IF(AR30+AS30=0,0,AR30+AS30),ROUND(IF(데이터입력!$AE$14=100%,ROUND(AR30*$AR$1,-3),ROUND(AR30*$AR$1,-3)-ROUND(((AR30*$AR$1)*$AT$4)*(데이터입력!$AE$14-100%)+((AR30*$AR$1)*$AU$4)*(데이터입력!$AE$14-100%)+((AR30*$AR$1)*$AU$4*$AV$4)*(데이터입력!$AE$14-100%)+((AR30*$AR$1)*$AW$4)*(데이터입력!$AE$14-100%),-1)),0)),0)</f>
        <v>0</v>
      </c>
      <c r="AZ30" s="977">
        <f>IFERROR(IF(AR30+AS30=0,0,IF(데이터입력!$AE$12=100%,(AT30),(AT30)+ROUND(AT30*(데이터입력!$AE$12-100%),-1))),0)</f>
        <v>0</v>
      </c>
      <c r="BA30" s="1095" t="str">
        <f>IFERROR(IF(AZ30=0,"",IF(AND(예산실적비교표!AP30&gt;0,예산실적비교표!AW30=0),"",ROUND(AZ30/12,0))),0)</f>
        <v/>
      </c>
      <c r="BB30" s="1096" t="str">
        <f>IF(BA30="","",IF(데이터입력!$O$71="",ROUND(AZ30/12,0),ROUND(데이터입력!$O$71/데이터입력!$Y$8/$BC$11,0)))</f>
        <v/>
      </c>
      <c r="BC30" s="1106" t="s">
        <v>449</v>
      </c>
      <c r="BD30" s="1109" t="s">
        <v>736</v>
      </c>
      <c r="BE30" s="1168">
        <f>AI19</f>
        <v>0.495</v>
      </c>
    </row>
    <row r="31" spans="1:58" ht="17.25" thickBot="1">
      <c r="A31" s="902">
        <f>IF($AM$1=TRUE,IF(K31="","",SUBTOTAL(2,$K$3:K31)),IF(AND(M31="",N31=""),"",IF(N31="",COUNT($M$3:M31),COUNT($N$3:N31)+200)))</f>
        <v>11</v>
      </c>
      <c r="B31" s="349" t="s">
        <v>16</v>
      </c>
      <c r="C31" s="349" t="s">
        <v>517</v>
      </c>
      <c r="D31" s="348">
        <v>404010301</v>
      </c>
      <c r="E31" s="348" t="s">
        <v>84</v>
      </c>
      <c r="F31" s="348" t="s">
        <v>14</v>
      </c>
      <c r="G31" s="350">
        <f>IFERROR(IF($E31="07",VLOOKUP($B31,예산실적비교표!$X$7:$Z$200,2,FALSE),0),0)</f>
        <v>56400000</v>
      </c>
      <c r="H31" s="350">
        <f>IFERROR(IF($E31="06",VLOOKUP($C31,세입예산서!$K$3:$X$205,12,FALSE),0),0)</f>
        <v>0</v>
      </c>
      <c r="I31" s="350">
        <f>IFERROR(IF($E31="07",VLOOKUP($C31,세입예산서!$K$3:$X$205,13,FALSE),0),0)</f>
        <v>59280000</v>
      </c>
      <c r="J31" s="350">
        <f>IFERROR(IF($E31="05",VLOOKUP($C31,세입예산서!$K$3:$X$205,14,FALSE),0),0)</f>
        <v>0</v>
      </c>
      <c r="K31" s="350">
        <f t="shared" si="0"/>
        <v>2880000</v>
      </c>
      <c r="L31" s="351">
        <f>IFERROR(IF($AB$2="",0,ROUNDUP(VLOOKUP($B31,예산실적비교표!$X$7:$Z$200,3,FALSE)*$Y$6/($Y$8-(12-$Y$10)),-2)*$Y$8),0)</f>
        <v>0</v>
      </c>
      <c r="M31" s="597">
        <f>IF($AM$1=TRUE,IF(K31="","",IF(IF($AE$2="",IF(K31="","",SUBTOTAL(2,$K$3:K31)),IF(AND(G31&gt;=0,K31=""),"",IF(AND(G31&gt;0,OR(K31&gt;0,K31&lt;0)),SUBTOTAL(2,$K$3:K31),IF(AND(G31=0,OR(K31&gt;0,K31&lt;0)),SUBTOTAL(2,$K$3:K31)+200,""))))&gt;200,"",1)),IF(K31="","",IF(IF($AE$2="",IF(K31="","",SUBTOTAL(2,$K$3:K31)),IF(AND(G31&gt;=0,K31=""),"",IF(AND(G31&gt;0,OR(K31&gt;0,K31&lt;0)),SUBTOTAL(2,$K$3:K31),IF(AND(G31=0,OR(K31&gt;0,K31&lt;0)),SUBTOTAL(2,$K$3:K31)+200,""))))&gt;200,"",1)))</f>
        <v>1</v>
      </c>
      <c r="N31" s="161" t="str">
        <f>IF($AM$1=TRUE,IF(K31="","",IF(IF($AE$2="",IF(K31="","",SUBTOTAL(2,$K$3:K31)),IF(AND(G31&gt;=0,K31=""),"",IF(AND(G31&gt;0,OR(K31&gt;0,K31&lt;0)),SUBTOTAL(2,$K$3:K31),IF(AND(G31=0,OR(K31&gt;0,K31&lt;0)),SUBTOTAL(2,$K$3:K31)+200,""))))&lt;=200,"",2)),IF(K31="","",IF(IF($AE$2="",IF(K31="","",SUBTOTAL(2,$K$3:K31)),IF(AND(G31&gt;=0,K31=""),"",IF(AND(G31&gt;0,OR(K31&gt;0,K31&lt;0)),SUBTOTAL(2,$K$3:K31),IF(AND(G31=0,OR(K31&gt;0,K31&lt;0)),SUBTOTAL(2,$K$3:K31)+200,""))))&lt;=200,"",2)))</f>
        <v/>
      </c>
      <c r="O31" s="466"/>
      <c r="P31" s="1335"/>
      <c r="Q31" s="472">
        <v>4</v>
      </c>
      <c r="R31" s="314" t="s">
        <v>837</v>
      </c>
      <c r="S31" s="315"/>
      <c r="T31" s="1336">
        <f>IFERROR(IF($Y$1=2025,60000,IF(OR($X$5=TRUE,$Y$5=TRUE,$Z$5=TRUE,$AA$5=TRUE),140000,110000)),140000)</f>
        <v>140000</v>
      </c>
      <c r="U31" s="309">
        <f>IF(Q31=0,예산실적비교표!B19,Q31)</f>
        <v>4</v>
      </c>
      <c r="V31" s="1337"/>
      <c r="X31" s="355" t="s">
        <v>246</v>
      </c>
      <c r="Y31" s="541">
        <f>COUNTIF($AQ$63:$AQ$262,데이터입력!X31)</f>
        <v>23</v>
      </c>
      <c r="Z31" s="556" t="str">
        <f>IF(예산실적비교표!C21="X","",예산실적비교표!C21)</f>
        <v/>
      </c>
      <c r="AA31" s="750">
        <f>IF($AB$2="",0,IF(Z31="",0,예산실적비교표!D21))</f>
        <v>0</v>
      </c>
      <c r="AB31" s="556" t="str">
        <f>IF(예산실적비교표!E21="X","",예산실적비교표!E21)</f>
        <v/>
      </c>
      <c r="AC31" s="750">
        <f>IF($AB$2="",0,IF(AB31="",0,예산실적비교표!F21))</f>
        <v>0</v>
      </c>
      <c r="AD31" s="556" t="str">
        <f>IF(예산실적비교표!G21="X","",예산실적비교표!G21)</f>
        <v/>
      </c>
      <c r="AE31" s="750">
        <f>IF($AB$2="",0,IF(AD31="",0,예산실적비교표!H21))</f>
        <v>0</v>
      </c>
      <c r="AF31" s="537">
        <f>IF($Y$8&lt;&gt;예산실적비교표!$B$3,$Y$8,예산실적비교표!I21)</f>
        <v>12</v>
      </c>
      <c r="AH31" s="279" t="str">
        <f>세입예산서!L180</f>
        <v xml:space="preserve">    - </v>
      </c>
      <c r="AI31" s="1346">
        <f>세입예산서!V180</f>
        <v>0</v>
      </c>
      <c r="AJ31" s="1347"/>
      <c r="AP31" s="981" t="str">
        <f>IF(예산실적비교표!AL31&lt;&gt;"",예산실적비교표!AL31,"")</f>
        <v/>
      </c>
      <c r="AQ31" s="982" t="str">
        <f>IF(예산실적비교표!AM31&lt;&gt;"",예산실적비교표!AM31,"")</f>
        <v/>
      </c>
      <c r="AR31" s="983">
        <f>IF(AND(예산실적비교표!AN31&lt;&gt;"",예산실적비교표!AN31&gt;1),예산실적비교표!AN31,0)</f>
        <v>0</v>
      </c>
      <c r="AS31" s="984">
        <f>IF(예산실적비교표!AO31&lt;&gt;"",예산실적비교표!AO31,0)</f>
        <v>0</v>
      </c>
      <c r="AT31" s="971">
        <f t="shared" si="2"/>
        <v>0</v>
      </c>
      <c r="AU31" s="985">
        <f>IF(예산실적비교표!AQ31&lt;&gt;"",예산실적비교표!AQ31,0)</f>
        <v>0</v>
      </c>
      <c r="AV31" s="973">
        <f t="shared" si="5"/>
        <v>0</v>
      </c>
      <c r="AW31" s="974">
        <f>IF(AR31="","",ROUND((AT31*$AT$7)*데이터입력!$AE$14+(AT31*$AU$7)*데이터입력!$AE$14+(AT31*$AU$7*$AV$7)*데이터입력!$AE$14+(AT31*$AW$7)*데이터입력!$AE$14+(AT31*$AX$7)*데이터입력!$AE$14,-1))</f>
        <v>0</v>
      </c>
      <c r="AX31" s="975">
        <f t="shared" si="6"/>
        <v>0</v>
      </c>
      <c r="AY31" s="976">
        <f>IFERROR(IF($AE$2=TRUE,IF(AR31+AS31=0,0,AR31+AS31),ROUND(IF(데이터입력!$AE$14=100%,ROUND(AR31*$AR$1,-3),ROUND(AR31*$AR$1,-3)-ROUND(((AR31*$AR$1)*$AT$4)*(데이터입력!$AE$14-100%)+((AR31*$AR$1)*$AU$4)*(데이터입력!$AE$14-100%)+((AR31*$AR$1)*$AU$4*$AV$4)*(데이터입력!$AE$14-100%)+((AR31*$AR$1)*$AW$4)*(데이터입력!$AE$14-100%),-1)),0)),0)</f>
        <v>0</v>
      </c>
      <c r="AZ31" s="977">
        <f>IFERROR(IF(AR31+AS31=0,0,IF(데이터입력!$AE$12=100%,(AT31),(AT31)+ROUND(AT31*(데이터입력!$AE$12-100%),-1))),0)</f>
        <v>0</v>
      </c>
      <c r="BA31" s="1095" t="str">
        <f>IFERROR(IF(AZ31=0,"",IF(AND(예산실적비교표!AP31&gt;0,예산실적비교표!AW31=0),"",ROUND(AZ31/12,0))),0)</f>
        <v/>
      </c>
      <c r="BB31" s="1096" t="str">
        <f>IF(BA31="","",IF(데이터입력!$O$71="",ROUND(AZ31/12,0),ROUND(데이터입력!$O$71/데이터입력!$Y$8/$BC$11,0)))</f>
        <v/>
      </c>
      <c r="BC31" s="1107"/>
      <c r="BD31" s="1110" t="s">
        <v>737</v>
      </c>
      <c r="BE31" s="1169"/>
    </row>
    <row r="32" spans="1:58" ht="27.75" customHeight="1" thickBot="1">
      <c r="A32" s="902" t="str">
        <f>IF($AM$1=TRUE,IF(K32="","",SUBTOTAL(2,$K$3:K32)),IF(AND(M32="",N32=""),"",IF(N32="",COUNT($M$3:M32),COUNT($N$3:N32)+200)))</f>
        <v/>
      </c>
      <c r="B32" s="349" t="s">
        <v>17</v>
      </c>
      <c r="C32" s="349" t="s">
        <v>518</v>
      </c>
      <c r="D32" s="348">
        <v>404010401</v>
      </c>
      <c r="E32" s="348" t="s">
        <v>84</v>
      </c>
      <c r="F32" s="348" t="s">
        <v>14</v>
      </c>
      <c r="G32" s="350">
        <f>IFERROR(IF($E32="07",VLOOKUP($B32,예산실적비교표!$X$7:$Z$200,2,FALSE),0),0)</f>
        <v>0</v>
      </c>
      <c r="H32" s="350">
        <f>IFERROR(IF($E32="06",VLOOKUP($C32,세입예산서!$K$3:$X$205,12,FALSE),0),0)</f>
        <v>0</v>
      </c>
      <c r="I32" s="350">
        <f>IFERROR(IF($E32="07",VLOOKUP($C32,세입예산서!$K$3:$X$205,13,FALSE),0),0)</f>
        <v>0</v>
      </c>
      <c r="J32" s="350">
        <f>IFERROR(IF($E32="05",VLOOKUP($C32,세입예산서!$K$3:$X$205,14,FALSE),0),0)</f>
        <v>0</v>
      </c>
      <c r="K32" s="350" t="str">
        <f t="shared" si="0"/>
        <v/>
      </c>
      <c r="L32" s="351">
        <f>IFERROR(IF($AB$2="",0,ROUNDUP(VLOOKUP($B32,예산실적비교표!$X$7:$Z$200,3,FALSE)*$Y$6/($Y$8-(12-$Y$10)),-2)*$Y$8),0)</f>
        <v>0</v>
      </c>
      <c r="M32" s="597" t="str">
        <f>IF($AM$1=TRUE,IF(K32="","",IF(IF($AE$2="",IF(K32="","",SUBTOTAL(2,$K$3:K32)),IF(AND(G32&gt;=0,K32=""),"",IF(AND(G32&gt;0,OR(K32&gt;0,K32&lt;0)),SUBTOTAL(2,$K$3:K32),IF(AND(G32=0,OR(K32&gt;0,K32&lt;0)),SUBTOTAL(2,$K$3:K32)+200,""))))&gt;200,"",1)),IF(K32="","",IF(IF($AE$2="",IF(K32="","",SUBTOTAL(2,$K$3:K32)),IF(AND(G32&gt;=0,K32=""),"",IF(AND(G32&gt;0,OR(K32&gt;0,K32&lt;0)),SUBTOTAL(2,$K$3:K32),IF(AND(G32=0,OR(K32&gt;0,K32&lt;0)),SUBTOTAL(2,$K$3:K32)+200,""))))&gt;200,"",1)))</f>
        <v/>
      </c>
      <c r="N32" s="161" t="str">
        <f>IF($AM$1=TRUE,IF(K32="","",IF(IF($AE$2="",IF(K32="","",SUBTOTAL(2,$K$3:K32)),IF(AND(G32&gt;=0,K32=""),"",IF(AND(G32&gt;0,OR(K32&gt;0,K32&lt;0)),SUBTOTAL(2,$K$3:K32),IF(AND(G32=0,OR(K32&gt;0,K32&lt;0)),SUBTOTAL(2,$K$3:K32)+200,""))))&lt;=200,"",2)),IF(K32="","",IF(IF($AE$2="",IF(K32="","",SUBTOTAL(2,$K$3:K32)),IF(AND(G32&gt;=0,K32=""),"",IF(AND(G32&gt;0,OR(K32&gt;0,K32&lt;0)),SUBTOTAL(2,$K$3:K32),IF(AND(G32=0,OR(K32&gt;0,K32&lt;0)),SUBTOTAL(2,$K$3:K32)+200,""))))&lt;=200,"",2)))</f>
        <v/>
      </c>
      <c r="O32" s="466"/>
      <c r="P32" s="1335"/>
      <c r="Q32" s="472">
        <v>3</v>
      </c>
      <c r="R32" s="314" t="s">
        <v>839</v>
      </c>
      <c r="S32" s="315"/>
      <c r="T32" s="1336">
        <f>IFERROR(IF($Y$1=2025,80000,IF(OR($X$5=TRUE,$Y$5=TRUE,$Z$5=TRUE,$AA$5=TRUE),160000,130000)),160000)</f>
        <v>160000</v>
      </c>
      <c r="U32" s="309">
        <f>IF(Q32=0,예산실적비교표!B20,Q32)</f>
        <v>3</v>
      </c>
      <c r="V32" s="1337"/>
      <c r="X32" s="361"/>
      <c r="Y32" s="362"/>
      <c r="Z32" s="362"/>
      <c r="AA32" s="362"/>
      <c r="AB32" s="362"/>
      <c r="AC32" s="362"/>
      <c r="AD32" s="362"/>
      <c r="AE32" s="362"/>
      <c r="AF32" s="363"/>
      <c r="AH32" s="279" t="str">
        <f>세입예산서!L181</f>
        <v xml:space="preserve">    - </v>
      </c>
      <c r="AI32" s="1346">
        <f>세입예산서!V181</f>
        <v>0</v>
      </c>
      <c r="AJ32" s="1347"/>
      <c r="AP32" s="981" t="str">
        <f>IF(예산실적비교표!AL32&lt;&gt;"",예산실적비교표!AL32,"")</f>
        <v/>
      </c>
      <c r="AQ32" s="982" t="str">
        <f>IF(예산실적비교표!AM32&lt;&gt;"",예산실적비교표!AM32,"")</f>
        <v/>
      </c>
      <c r="AR32" s="983">
        <f>IF(AND(예산실적비교표!AN32&lt;&gt;"",예산실적비교표!AN32&gt;1),예산실적비교표!AN32,0)</f>
        <v>0</v>
      </c>
      <c r="AS32" s="984">
        <f>IF(예산실적비교표!AO32&lt;&gt;"",예산실적비교표!AO32,0)</f>
        <v>0</v>
      </c>
      <c r="AT32" s="971">
        <f t="shared" si="2"/>
        <v>0</v>
      </c>
      <c r="AU32" s="985">
        <f>IF(예산실적비교표!AQ32&lt;&gt;"",예산실적비교표!AQ32,0)</f>
        <v>0</v>
      </c>
      <c r="AV32" s="973">
        <f t="shared" si="5"/>
        <v>0</v>
      </c>
      <c r="AW32" s="974">
        <f>IF(AR32="","",ROUND((AT32*$AT$7)*데이터입력!$AE$14+(AT32*$AU$7)*데이터입력!$AE$14+(AT32*$AU$7*$AV$7)*데이터입력!$AE$14+(AT32*$AW$7)*데이터입력!$AE$14+(AT32*$AX$7)*데이터입력!$AE$14,-1))</f>
        <v>0</v>
      </c>
      <c r="AX32" s="975">
        <f t="shared" si="6"/>
        <v>0</v>
      </c>
      <c r="AY32" s="976">
        <f>IFERROR(IF($AE$2=TRUE,IF(AR32+AS32=0,0,AR32+AS32),ROUND(IF(데이터입력!$AE$14=100%,ROUND(AR32*$AR$1,-3),ROUND(AR32*$AR$1,-3)-ROUND(((AR32*$AR$1)*$AT$4)*(데이터입력!$AE$14-100%)+((AR32*$AR$1)*$AU$4)*(데이터입력!$AE$14-100%)+((AR32*$AR$1)*$AU$4*$AV$4)*(데이터입력!$AE$14-100%)+((AR32*$AR$1)*$AW$4)*(데이터입력!$AE$14-100%),-1)),0)),0)</f>
        <v>0</v>
      </c>
      <c r="AZ32" s="977">
        <f>IFERROR(IF(AR32+AS32=0,0,IF(데이터입력!$AE$12=100%,(AT32),(AT32)+ROUND(AT32*(데이터입력!$AE$12-100%),-1))),0)</f>
        <v>0</v>
      </c>
      <c r="BA32" s="1095" t="str">
        <f>IFERROR(IF(AZ32=0,"",IF(AND(예산실적비교표!AP32&gt;0,예산실적비교표!AW32=0),"",ROUND(AZ32/12,0))),0)</f>
        <v/>
      </c>
      <c r="BB32" s="1096" t="str">
        <f>IF(BA32="","",IF(데이터입력!$O$71="",ROUND(AZ32/12,0),ROUND(데이터입력!$O$71/데이터입력!$Y$8/$BC$11,0)))</f>
        <v/>
      </c>
      <c r="BC32" s="1107"/>
      <c r="BD32" s="1110" t="s">
        <v>732</v>
      </c>
      <c r="BE32" s="1169"/>
    </row>
    <row r="33" spans="1:70" ht="17.25" thickBot="1">
      <c r="A33" s="902" t="str">
        <f>IF($AM$1=TRUE,IF(K33="","",SUBTOTAL(2,$K$3:K33)),IF(AND(M33="",N33=""),"",IF(N33="",COUNT($M$3:M33),COUNT($N$3:N33)+200)))</f>
        <v/>
      </c>
      <c r="B33" s="349" t="s">
        <v>31</v>
      </c>
      <c r="C33" s="349" t="s">
        <v>519</v>
      </c>
      <c r="D33" s="348">
        <v>409010101</v>
      </c>
      <c r="E33" s="348" t="s">
        <v>84</v>
      </c>
      <c r="F33" s="348" t="s">
        <v>81</v>
      </c>
      <c r="G33" s="350">
        <f>IFERROR(IF($E33="07",VLOOKUP($B33,예산실적비교표!$X$7:$Z$200,2,FALSE),0),0)</f>
        <v>267</v>
      </c>
      <c r="H33" s="350">
        <f>IFERROR(IF($E33="06",VLOOKUP($C33,세입예산서!$K$3:$X$205,12,FALSE),0),0)</f>
        <v>0</v>
      </c>
      <c r="I33" s="350">
        <f>IFERROR(IF($E33="07",VLOOKUP($C33,세입예산서!$K$3:$X$205,13,FALSE),0),0)</f>
        <v>0</v>
      </c>
      <c r="J33" s="350">
        <f>IFERROR(IF($E33="05",VLOOKUP($C33,세입예산서!$K$3:$X$205,14,FALSE),0),0)</f>
        <v>0</v>
      </c>
      <c r="K33" s="350" t="str">
        <f t="shared" si="0"/>
        <v/>
      </c>
      <c r="L33" s="351">
        <f>IFERROR(IF($AB$2="",0,ROUNDUP(VLOOKUP($B33,예산실적비교표!$X$7:$Z$200,3,FALSE),0)),0)</f>
        <v>0</v>
      </c>
      <c r="M33" s="597" t="str">
        <f>IF($AM$1=TRUE,IF(K33="","",IF(IF($AE$2="",IF(K33="","",SUBTOTAL(2,$K$3:K33)),IF(AND(G33&gt;=0,K33=""),"",IF(AND(G33&gt;0,OR(K33&gt;0,K33&lt;0)),SUBTOTAL(2,$K$3:K33),IF(AND(G33=0,OR(K33&gt;0,K33&lt;0)),SUBTOTAL(2,$K$3:K33)+200,""))))&gt;200,"",1)),IF(K33="","",IF(IF($AE$2="",IF(K33="","",SUBTOTAL(2,$K$3:K33)),IF(AND(G33&gt;=0,K33=""),"",IF(AND(G33&gt;0,OR(K33&gt;0,K33&lt;0)),SUBTOTAL(2,$K$3:K33),IF(AND(G33=0,OR(K33&gt;0,K33&lt;0)),SUBTOTAL(2,$K$3:K33)+200,""))))&gt;200,"",1)))</f>
        <v/>
      </c>
      <c r="N33" s="161" t="str">
        <f>IF($AM$1=TRUE,IF(K33="","",IF(IF($AE$2="",IF(K33="","",SUBTOTAL(2,$K$3:K33)),IF(AND(G33&gt;=0,K33=""),"",IF(AND(G33&gt;0,OR(K33&gt;0,K33&lt;0)),SUBTOTAL(2,$K$3:K33),IF(AND(G33=0,OR(K33&gt;0,K33&lt;0)),SUBTOTAL(2,$K$3:K33)+200,""))))&lt;=200,"",2)),IF(K33="","",IF(IF($AE$2="",IF(K33="","",SUBTOTAL(2,$K$3:K33)),IF(AND(G33&gt;=0,K33=""),"",IF(AND(G33&gt;0,OR(K33&gt;0,K33&lt;0)),SUBTOTAL(2,$K$3:K33),IF(AND(G33=0,OR(K33&gt;0,K33&lt;0)),SUBTOTAL(2,$K$3:K33)+200,""))))&lt;=200,"",2)))</f>
        <v/>
      </c>
      <c r="O33" s="466"/>
      <c r="P33" s="1335"/>
      <c r="Q33" s="472">
        <v>5</v>
      </c>
      <c r="R33" s="314" t="s">
        <v>841</v>
      </c>
      <c r="S33" s="315"/>
      <c r="T33" s="1336">
        <f>IFERROR(IF($Y$1=2025,100000,IF(OR($X$5=TRUE,$Y$5=TRUE,$Z$5=TRUE,$AA$5=TRUE),180000,150000)),180000)</f>
        <v>180000</v>
      </c>
      <c r="U33" s="309">
        <f>IF(Q33=0,예산실적비교표!B21,Q33)</f>
        <v>5</v>
      </c>
      <c r="V33" s="1337"/>
      <c r="X33" s="1500" t="s">
        <v>269</v>
      </c>
      <c r="Y33" s="1501"/>
      <c r="Z33" s="1501"/>
      <c r="AA33" s="1501"/>
      <c r="AB33" s="1501"/>
      <c r="AC33" s="1501"/>
      <c r="AD33" s="1501"/>
      <c r="AE33" s="1501"/>
      <c r="AF33" s="1502"/>
      <c r="AH33" s="279" t="str">
        <f>세입예산서!L182</f>
        <v xml:space="preserve">    - </v>
      </c>
      <c r="AI33" s="1346">
        <f>세입예산서!V182</f>
        <v>0</v>
      </c>
      <c r="AJ33" s="1347"/>
      <c r="AP33" s="981" t="str">
        <f>IF(예산실적비교표!AL33&lt;&gt;"",예산실적비교표!AL33,"")</f>
        <v/>
      </c>
      <c r="AQ33" s="982" t="str">
        <f>IF(예산실적비교표!AM33&lt;&gt;"",예산실적비교표!AM33,"")</f>
        <v/>
      </c>
      <c r="AR33" s="983">
        <f>IF(AND(예산실적비교표!AN33&lt;&gt;"",예산실적비교표!AN33&gt;1),예산실적비교표!AN33,0)</f>
        <v>0</v>
      </c>
      <c r="AS33" s="984">
        <f>IF(예산실적비교표!AO33&lt;&gt;"",예산실적비교표!AO33,0)</f>
        <v>0</v>
      </c>
      <c r="AT33" s="971">
        <f t="shared" si="2"/>
        <v>0</v>
      </c>
      <c r="AU33" s="985">
        <f>IF(예산실적비교표!AQ33&lt;&gt;"",예산실적비교표!AQ33,0)</f>
        <v>0</v>
      </c>
      <c r="AV33" s="973">
        <f t="shared" si="5"/>
        <v>0</v>
      </c>
      <c r="AW33" s="974">
        <f>IF(AR33="","",ROUND((AT33*$AT$7)*데이터입력!$AE$14+(AT33*$AU$7)*데이터입력!$AE$14+(AT33*$AU$7*$AV$7)*데이터입력!$AE$14+(AT33*$AW$7)*데이터입력!$AE$14+(AT33*$AX$7)*데이터입력!$AE$14,-1))</f>
        <v>0</v>
      </c>
      <c r="AX33" s="975">
        <f t="shared" si="6"/>
        <v>0</v>
      </c>
      <c r="AY33" s="976">
        <f>IFERROR(IF($AE$2=TRUE,IF(AR33+AS33=0,0,AR33+AS33),ROUND(IF(데이터입력!$AE$14=100%,ROUND(AR33*$AR$1,-3),ROUND(AR33*$AR$1,-3)-ROUND(((AR33*$AR$1)*$AT$4)*(데이터입력!$AE$14-100%)+((AR33*$AR$1)*$AU$4)*(데이터입력!$AE$14-100%)+((AR33*$AR$1)*$AU$4*$AV$4)*(데이터입력!$AE$14-100%)+((AR33*$AR$1)*$AW$4)*(데이터입력!$AE$14-100%),-1)),0)),0)</f>
        <v>0</v>
      </c>
      <c r="AZ33" s="977">
        <f>IFERROR(IF(AR33+AS33=0,0,IF(데이터입력!$AE$12=100%,(AT33),(AT33)+ROUND(AT33*(데이터입력!$AE$12-100%),-1))),0)</f>
        <v>0</v>
      </c>
      <c r="BA33" s="1095" t="str">
        <f>IFERROR(IF(AZ33=0,"",IF(AND(예산실적비교표!AP33&gt;0,예산실적비교표!AW33=0),"",ROUND(AZ33/12,0))),0)</f>
        <v/>
      </c>
      <c r="BB33" s="1096" t="str">
        <f>IF(BA33="","",IF(데이터입력!$O$71="",ROUND(AZ33/12,0),ROUND(데이터입력!$O$71/데이터입력!$Y$8/$BC$11,0)))</f>
        <v/>
      </c>
      <c r="BC33" s="1108"/>
      <c r="BD33" s="1111" t="s">
        <v>738</v>
      </c>
      <c r="BE33" s="1170"/>
    </row>
    <row r="34" spans="1:70" ht="17.25" thickBot="1">
      <c r="A34" s="902">
        <f>IF($AM$1=TRUE,IF(K34="","",SUBTOTAL(2,$K$3:K34)),IF(AND(M34="",N34=""),"",IF(N34="",COUNT($M$3:M34),COUNT($N$3:N34)+200)))</f>
        <v>12</v>
      </c>
      <c r="B34" s="349" t="s">
        <v>488</v>
      </c>
      <c r="C34" s="349" t="s">
        <v>520</v>
      </c>
      <c r="D34" s="348">
        <v>410010201</v>
      </c>
      <c r="E34" s="348" t="s">
        <v>84</v>
      </c>
      <c r="F34" s="348" t="s">
        <v>81</v>
      </c>
      <c r="G34" s="350">
        <f>IFERROR(IF($E34="07",VLOOKUP($B34,예산실적비교표!$X$7:$Z$200,2,FALSE),0),0)+IFERROR(IF($E34="07",VLOOKUP($B28,예산실적비교표!$X$7:$Z$200,2,FALSE),0),0)</f>
        <v>10000</v>
      </c>
      <c r="H34" s="350">
        <f>IFERROR(IF($E34="06",VLOOKUP($C34,세입예산서!$K$3:$X$205,12,FALSE),0),0)</f>
        <v>0</v>
      </c>
      <c r="I34" s="350">
        <f>IFERROR(IF($E34="07",VLOOKUP($C34,세입예산서!$K$3:$X$205,13,FALSE),0),0)</f>
        <v>10000</v>
      </c>
      <c r="J34" s="350">
        <f>IFERROR(IF($E34="05",VLOOKUP($C34,세입예산서!$K$3:$X$205,14,FALSE),0),0)</f>
        <v>0</v>
      </c>
      <c r="K34" s="350">
        <f t="shared" si="0"/>
        <v>0</v>
      </c>
      <c r="L34" s="351">
        <f>IFERROR(IF($AE$2=TRUE,IF($AB$2="",0,IF(ROUNDUP(VLOOKUP($B34,예산실적비교표!$X$7:$Z$200,3,FALSE)*$U$62,-2)&lt;10000,10000,ROUNDUP(VLOOKUP($B34,예산실적비교표!$X$7:$Z$200,3,FALSE)*$Y$6/($Y$8-(12-$Y$10)),-2)*$Y$8)),VLOOKUP($B34,예산실적비교표!$X$7:$Z$200,3,FALSE)),0)</f>
        <v>0</v>
      </c>
      <c r="M34" s="597">
        <f>IF($AM$1=TRUE,IF(K34="","",IF(IF($AE$2="",IF(K34="","",SUBTOTAL(2,$K$3:K34)),IF(AND(G34&gt;=0,K34=""),"",IF(AND(G34&gt;0,OR(K34&gt;0,K34&lt;0)),SUBTOTAL(2,$K$3:K34),IF(AND(G34=0,OR(K34&gt;0,K34&lt;0)),SUBTOTAL(2,$K$3:K34)+200,""))))&gt;200,"",1)),IF(K34="","",IF(IF($AE$2="",IF(K34="","",SUBTOTAL(2,$K$3:K34)),IF(AND(G34&gt;=0,K34=""),"",IF(AND(G34&gt;0,OR(K34&gt;0,K34&lt;0)),SUBTOTAL(2,$K$3:K34),IF(AND(G34=0,OR(K34&gt;0,K34&lt;0)),SUBTOTAL(2,$K$3:K34)+200,""))))&gt;200,"",1)))</f>
        <v>1</v>
      </c>
      <c r="N34" s="161" t="str">
        <f>IF($AM$1=TRUE,IF(K34="","",IF(IF($AE$2="",IF(K34="","",SUBTOTAL(2,$K$3:K34)),IF(AND(G34&gt;=0,K34=""),"",IF(AND(G34&gt;0,OR(K34&gt;0,K34&lt;0)),SUBTOTAL(2,$K$3:K34),IF(AND(G34=0,OR(K34&gt;0,K34&lt;0)),SUBTOTAL(2,$K$3:K34)+200,""))))&lt;=200,"",2)),IF(K34="","",IF(IF($AE$2="",IF(K34="","",SUBTOTAL(2,$K$3:K34)),IF(AND(G34&gt;=0,K34=""),"",IF(AND(G34&gt;0,OR(K34&gt;0,K34&lt;0)),SUBTOTAL(2,$K$3:K34),IF(AND(G34=0,OR(K34&gt;0,K34&lt;0)),SUBTOTAL(2,$K$3:K34)+200,""))))&lt;=200,"",2)))</f>
        <v/>
      </c>
      <c r="O34" s="1327"/>
      <c r="P34" s="1328">
        <f>IFERROR(IF(예산실적비교표!$B$13="",IF(ROUND(VLOOKUP(R34,$B$1:$L$40,11,FALSE)*$Y$6/$Y$8/$Y$25/U34/V34,0)&lt;3300,3300,ROUND(VLOOKUP(R34,$B$1:$L$40,11,FALSE)*$Y$6/$Y$8/$Y$25/U34/V34,0)),IF(예산실적비교표!$B$13&gt;0,예산실적비교표!$B$13,VLOOKUP(R34,예산평균!$B:$D,3,FALSE))),0)</f>
        <v>3300</v>
      </c>
      <c r="Q34" s="1329">
        <v>0</v>
      </c>
      <c r="R34" s="1330" t="s">
        <v>124</v>
      </c>
      <c r="S34" s="1331"/>
      <c r="T34" s="1332">
        <f>IFERROR(IF(O34="",P34,O34),0)</f>
        <v>3300</v>
      </c>
      <c r="U34" s="1333">
        <f>IF(Q34&gt;0,Q34,IF($AB$2=$AH$19,예산실적비교표!H12,3))</f>
        <v>3</v>
      </c>
      <c r="V34" s="1334">
        <f>IFERROR(VLOOKUP($AB$2,$R$7:$V$21,5,FALSE),0)</f>
        <v>30.4</v>
      </c>
      <c r="X34" s="345" t="s">
        <v>715</v>
      </c>
      <c r="Y34" s="748">
        <f>ROUND((세출예산서!Z84)/$Y$8,-3)</f>
        <v>1000000</v>
      </c>
      <c r="Z34" s="345" t="str">
        <f>"회의비("&amp;U76&amp;"개월)"</f>
        <v>회의비(4개월)</v>
      </c>
      <c r="AA34" s="748">
        <f>ROUND((세출예산서!Z93)/$U$76,-3)</f>
        <v>189000</v>
      </c>
      <c r="AB34" s="345" t="s">
        <v>717</v>
      </c>
      <c r="AC34" s="748">
        <f>ROUND((세출예산서!Z104)/$Y$8,-3)</f>
        <v>100000</v>
      </c>
      <c r="AD34" s="345" t="s">
        <v>714</v>
      </c>
      <c r="AE34" s="536">
        <f>SUM(AE35:AE41)</f>
        <v>500000</v>
      </c>
      <c r="AF34" s="366" t="s">
        <v>214</v>
      </c>
      <c r="AH34" s="1515" t="s">
        <v>491</v>
      </c>
      <c r="AI34" s="1516"/>
      <c r="AJ34" s="1517"/>
      <c r="AP34" s="981" t="str">
        <f>IF(예산실적비교표!AL34&lt;&gt;"",예산실적비교표!AL34,"")</f>
        <v/>
      </c>
      <c r="AQ34" s="982" t="str">
        <f>IF(예산실적비교표!AM34&lt;&gt;"",예산실적비교표!AM34,"")</f>
        <v/>
      </c>
      <c r="AR34" s="983">
        <f>IF(AND(예산실적비교표!AN34&lt;&gt;"",예산실적비교표!AN34&gt;1),예산실적비교표!AN34,0)</f>
        <v>0</v>
      </c>
      <c r="AS34" s="984">
        <f>IF(예산실적비교표!AO34&lt;&gt;"",예산실적비교표!AO34,0)</f>
        <v>0</v>
      </c>
      <c r="AT34" s="971">
        <f t="shared" si="2"/>
        <v>0</v>
      </c>
      <c r="AU34" s="985">
        <f>IF(예산실적비교표!AQ34&lt;&gt;"",예산실적비교표!AQ34,0)</f>
        <v>0</v>
      </c>
      <c r="AV34" s="973">
        <f t="shared" si="5"/>
        <v>0</v>
      </c>
      <c r="AW34" s="974">
        <f>IF(AR34="","",ROUND((AT34*$AT$7)*데이터입력!$AE$14+(AT34*$AU$7)*데이터입력!$AE$14+(AT34*$AU$7*$AV$7)*데이터입력!$AE$14+(AT34*$AW$7)*데이터입력!$AE$14+(AT34*$AX$7)*데이터입력!$AE$14,-1))</f>
        <v>0</v>
      </c>
      <c r="AX34" s="975">
        <f t="shared" si="6"/>
        <v>0</v>
      </c>
      <c r="AY34" s="976">
        <f>IFERROR(IF($AE$2=TRUE,IF(AR34+AS34=0,0,AR34+AS34),ROUND(IF(데이터입력!$AE$14=100%,ROUND(AR34*$AR$1,-3),ROUND(AR34*$AR$1,-3)-ROUND(((AR34*$AR$1)*$AT$4)*(데이터입력!$AE$14-100%)+((AR34*$AR$1)*$AU$4)*(데이터입력!$AE$14-100%)+((AR34*$AR$1)*$AU$4*$AV$4)*(데이터입력!$AE$14-100%)+((AR34*$AR$1)*$AW$4)*(데이터입력!$AE$14-100%),-1)),0)),0)</f>
        <v>0</v>
      </c>
      <c r="AZ34" s="977">
        <f>IFERROR(IF(AR34+AS34=0,0,IF(데이터입력!$AE$12=100%,(AT34),(AT34)+ROUND(AT34*(데이터입력!$AE$12-100%),-1))),0)</f>
        <v>0</v>
      </c>
      <c r="BA34" s="1095" t="str">
        <f>IFERROR(IF(AZ34=0,"",IF(AND(예산실적비교표!AP34&gt;0,예산실적비교표!AW34=0),"",ROUND(AZ34/12,0))),0)</f>
        <v/>
      </c>
      <c r="BB34" s="1096" t="str">
        <f>IF(BA34="","",IF(데이터입력!$O$71="",ROUND(AZ34/12,0),ROUND(데이터입력!$O$71/데이터입력!$Y$8/$BC$11,0)))</f>
        <v/>
      </c>
      <c r="BC34" s="1106" t="s">
        <v>451</v>
      </c>
      <c r="BD34" s="1109" t="s">
        <v>736</v>
      </c>
      <c r="BE34" s="1168">
        <f>AI20</f>
        <v>0.59799999999999998</v>
      </c>
    </row>
    <row r="35" spans="1:70" ht="27.75" customHeight="1" thickBot="1">
      <c r="A35" s="903" t="str">
        <f>IF($AM$1=TRUE,IF(K35="","",SUBTOTAL(2,$K$3:K35)),IF(AND(M35="",N35=""),"",IF(N35="",COUNT($M$3:M35),COUNT($N$3:N35)+200)))</f>
        <v/>
      </c>
      <c r="B35" s="368" t="s">
        <v>18</v>
      </c>
      <c r="C35" s="368" t="s">
        <v>521</v>
      </c>
      <c r="D35" s="367">
        <v>405010101</v>
      </c>
      <c r="E35" s="367" t="s">
        <v>85</v>
      </c>
      <c r="F35" s="367" t="s">
        <v>19</v>
      </c>
      <c r="G35" s="369">
        <f>IFERROR(IF($E35="05",VLOOKUP($B35,예산실적비교표!$AG$7:$AJ$200,2,FALSE),0),0)</f>
        <v>0</v>
      </c>
      <c r="H35" s="369">
        <f>IFERROR(IF($E35="06",VLOOKUP($C35,세입예산서!$K$3:$X$205,12,FALSE),0),0)</f>
        <v>0</v>
      </c>
      <c r="I35" s="369">
        <f>IFERROR(IF($E35="07",VLOOKUP($C35,세입예산서!$K$3:$X$205,13,FALSE),0),0)</f>
        <v>0</v>
      </c>
      <c r="J35" s="369">
        <f>IFERROR(IF($E35="05",VLOOKUP($C35,세입예산서!$K$3:$X$205,14,FALSE),0),0)</f>
        <v>0</v>
      </c>
      <c r="K35" s="369" t="str">
        <f t="shared" si="0"/>
        <v/>
      </c>
      <c r="L35" s="370">
        <f>IFERROR(IF($AB$2="",0,ROUNDUP(VLOOKUP($B35,예산실적비교표!$AG$7:$AJ$200,3,FALSE)*$Y$6/($Y$8-(12-$Y$9)),-2)*$Y$8),0)</f>
        <v>0</v>
      </c>
      <c r="M35" s="597" t="str">
        <f>IF($AM$1=TRUE,IF(K35="","",IF(IF($AE$2="",IF(K35="","",SUBTOTAL(2,$K$3:K35)),IF(AND(G35&gt;=0,K35=""),"",IF(AND(G35&gt;0,OR(K35&gt;0,K35&lt;0)),SUBTOTAL(2,$K$3:K35),IF(AND(G35=0,OR(K35&gt;0,K35&lt;0)),SUBTOTAL(2,$K$3:K35)+200,""))))&gt;200,"",1)),IF(K35="","",IF(IF($AE$2="",IF(K35="","",SUBTOTAL(2,$K$3:K35)),IF(AND(G35&gt;=0,K35=""),"",IF(AND(G35&gt;0,OR(K35&gt;0,K35&lt;0)),SUBTOTAL(2,$K$3:K35),IF(AND(G35=0,OR(K35&gt;0,K35&lt;0)),SUBTOTAL(2,$K$3:K35)+200,""))))&gt;200,"",1)))</f>
        <v/>
      </c>
      <c r="N35" s="161" t="str">
        <f>IF($AM$1=TRUE,IF(K35="","",IF(IF($AE$2="",IF(K35="","",SUBTOTAL(2,$K$3:K35)),IF(AND(G35&gt;=0,K35=""),"",IF(AND(G35&gt;0,OR(K35&gt;0,K35&lt;0)),SUBTOTAL(2,$K$3:K35),IF(AND(G35=0,OR(K35&gt;0,K35&lt;0)),SUBTOTAL(2,$K$3:K35)+200,""))))&lt;=200,"",2)),IF(K35="","",IF(IF($AE$2="",IF(K35="","",SUBTOTAL(2,$K$3:K35)),IF(AND(G35&gt;=0,K35=""),"",IF(AND(G35&gt;0,OR(K35&gt;0,K35&lt;0)),SUBTOTAL(2,$K$3:K35),IF(AND(G35=0,OR(K35&gt;0,K35&lt;0)),SUBTOTAL(2,$K$3:K35)+200,""))))&lt;=200,"",2)))</f>
        <v/>
      </c>
      <c r="O35" s="463"/>
      <c r="P35" s="356">
        <f>IFERROR(IF($AE$2="추경",IF(VLOOKUP(R35,$B$1:$L$28,11,FALSE)&gt;=VLOOKUP(R35,$B$1:$L$28,6,FALSE),ROUNDUP(VLOOKUP(R35,$B$1:$L$28,11,FALSE)/U35,-4)*U35,VLOOKUP(R35,$B$1:$L$28,6,FALSE)),IF(VLOOKUP(R35,$B$1:$L$28,11,FALSE)&gt;0,VLOOKUP(R35,$B$1:$L$28,11,FALSE),VLOOKUP(R35,예산평균!$B:$D,3,FALSE))),0)</f>
        <v>0</v>
      </c>
      <c r="Q35" s="487">
        <v>0</v>
      </c>
      <c r="R35" s="357" t="s">
        <v>8</v>
      </c>
      <c r="S35" s="302" t="s">
        <v>6</v>
      </c>
      <c r="T35" s="358">
        <f t="shared" ref="T35:T43" si="9">IF(O35="",P35,O35)</f>
        <v>0</v>
      </c>
      <c r="U35" s="359">
        <f t="shared" ref="U35:U49" si="10">IF(Q35=0,$Y$8,Q35)</f>
        <v>12</v>
      </c>
      <c r="V35" s="360" t="s">
        <v>126</v>
      </c>
      <c r="X35" s="931" t="str">
        <f>IF(예산실적비교표!A25="X","",예산실적비교표!A25)</f>
        <v>직책보조비</v>
      </c>
      <c r="Y35" s="749">
        <f>Y34-SUM(Y36:Y41)</f>
        <v>1000000</v>
      </c>
      <c r="Z35" s="931" t="str">
        <f>IF(예산실적비교표!C25="X","",예산실적비교표!C25)</f>
        <v>회의비</v>
      </c>
      <c r="AA35" s="749">
        <f>AA34-SUM(AA36:AA41)</f>
        <v>189000</v>
      </c>
      <c r="AB35" s="931" t="str">
        <f>IF(예산실적비교표!E25="X","",예산실적비교표!E25)</f>
        <v>여비</v>
      </c>
      <c r="AC35" s="749">
        <f>AC34-SUM(AC36:AC41)</f>
        <v>100000</v>
      </c>
      <c r="AD35" s="931" t="str">
        <f>IF(예산실적비교표!G25="X","",예산실적비교표!G25)</f>
        <v>상담,타시설 미팅등</v>
      </c>
      <c r="AE35" s="756">
        <f>ROUND((AI35-SUM(AI37:AJ42))/AF35,-3)</f>
        <v>50000</v>
      </c>
      <c r="AF35" s="537">
        <f>IF($Y$8&lt;&gt;예산실적비교표!$B$3,$U$74,예산실적비교표!I25)</f>
        <v>12</v>
      </c>
      <c r="AH35" s="548" t="s">
        <v>714</v>
      </c>
      <c r="AI35" s="1342">
        <f>세출예산서!$Z$74</f>
        <v>6000000</v>
      </c>
      <c r="AJ35" s="1343"/>
      <c r="AP35" s="981" t="str">
        <f>IF(예산실적비교표!AL35&lt;&gt;"",예산실적비교표!AL35,"")</f>
        <v/>
      </c>
      <c r="AQ35" s="982" t="str">
        <f>IF(예산실적비교표!AM35&lt;&gt;"",예산실적비교표!AM35,"")</f>
        <v/>
      </c>
      <c r="AR35" s="983">
        <f>IF(AND(예산실적비교표!AN35&lt;&gt;"",예산실적비교표!AN35&gt;1),예산실적비교표!AN35,0)</f>
        <v>0</v>
      </c>
      <c r="AS35" s="984">
        <f>IF(예산실적비교표!AO35&lt;&gt;"",예산실적비교표!AO35,0)</f>
        <v>0</v>
      </c>
      <c r="AT35" s="971">
        <f t="shared" si="2"/>
        <v>0</v>
      </c>
      <c r="AU35" s="985">
        <f>IF(예산실적비교표!AQ35&lt;&gt;"",예산실적비교표!AQ35,0)</f>
        <v>0</v>
      </c>
      <c r="AV35" s="973">
        <f t="shared" si="5"/>
        <v>0</v>
      </c>
      <c r="AW35" s="974">
        <f>IF(AR35="","",ROUND((AT35*$AT$7)*데이터입력!$AE$14+(AT35*$AU$7)*데이터입력!$AE$14+(AT35*$AU$7*$AV$7)*데이터입력!$AE$14+(AT35*$AW$7)*데이터입력!$AE$14+(AT35*$AX$7)*데이터입력!$AE$14,-1))</f>
        <v>0</v>
      </c>
      <c r="AX35" s="975">
        <f t="shared" si="6"/>
        <v>0</v>
      </c>
      <c r="AY35" s="976">
        <f>IFERROR(IF($AE$2=TRUE,IF(AR35+AS35=0,0,AR35+AS35),ROUND(IF(데이터입력!$AE$14=100%,ROUND(AR35*$AR$1,-3),ROUND(AR35*$AR$1,-3)-ROUND(((AR35*$AR$1)*$AT$4)*(데이터입력!$AE$14-100%)+((AR35*$AR$1)*$AU$4)*(데이터입력!$AE$14-100%)+((AR35*$AR$1)*$AU$4*$AV$4)*(데이터입력!$AE$14-100%)+((AR35*$AR$1)*$AW$4)*(데이터입력!$AE$14-100%),-1)),0)),0)</f>
        <v>0</v>
      </c>
      <c r="AZ35" s="977">
        <f>IFERROR(IF(AR35+AS35=0,0,IF(데이터입력!$AE$12=100%,(AT35),(AT35)+ROUND(AT35*(데이터입력!$AE$12-100%),-1))),0)</f>
        <v>0</v>
      </c>
      <c r="BA35" s="1095" t="str">
        <f>IFERROR(IF(AZ35=0,"",IF(AND(예산실적비교표!AP35&gt;0,예산실적비교표!AW35=0),"",ROUND(AZ35/12,0))),0)</f>
        <v/>
      </c>
      <c r="BB35" s="1096" t="str">
        <f>IF(BA35="","",IF(데이터입력!$O$71="",ROUND(AZ35/12,0),ROUND(데이터입력!$O$71/데이터입력!$Y$8/$BC$11,0)))</f>
        <v/>
      </c>
      <c r="BC35" s="1107"/>
      <c r="BD35" s="1110" t="s">
        <v>737</v>
      </c>
      <c r="BE35" s="1169"/>
    </row>
    <row r="36" spans="1:70" ht="27" customHeight="1">
      <c r="A36" s="903" t="str">
        <f>IF($AM$1=TRUE,IF(K36="","",SUBTOTAL(2,$K$3:K36)),IF(AND(M36="",N36=""),"",IF(N36="",COUNT($M$3:M36),COUNT($N$3:N36)+200)))</f>
        <v/>
      </c>
      <c r="B36" s="368" t="s">
        <v>20</v>
      </c>
      <c r="C36" s="368" t="s">
        <v>522</v>
      </c>
      <c r="D36" s="367">
        <v>405010201</v>
      </c>
      <c r="E36" s="367" t="s">
        <v>85</v>
      </c>
      <c r="F36" s="367" t="s">
        <v>19</v>
      </c>
      <c r="G36" s="369">
        <f>IFERROR(IF($E36="05",VLOOKUP($B36,예산실적비교표!$AG$7:$AJ$200,2,FALSE),0),0)</f>
        <v>0</v>
      </c>
      <c r="H36" s="369">
        <f>IFERROR(IF($E36="06",VLOOKUP($C36,세입예산서!$K$3:$X$205,12,FALSE),0),0)</f>
        <v>0</v>
      </c>
      <c r="I36" s="369">
        <f>IFERROR(IF($E36="07",VLOOKUP($C36,세입예산서!$K$3:$X$205,13,FALSE),0),0)</f>
        <v>0</v>
      </c>
      <c r="J36" s="369">
        <f>IFERROR(IF($E36="05",VLOOKUP($C36,세입예산서!$K$3:$X$205,14,FALSE),0),0)</f>
        <v>0</v>
      </c>
      <c r="K36" s="369" t="str">
        <f t="shared" si="0"/>
        <v/>
      </c>
      <c r="L36" s="370">
        <f>IFERROR(IF($AB$2="",0,ROUNDUP(VLOOKUP($B36,예산실적비교표!$AG$7:$AJ$200,3,FALSE)*$Y$6/($Y$8-(12-$Y$9)),-2)*$Y$8),0)</f>
        <v>0</v>
      </c>
      <c r="M36" s="597" t="str">
        <f>IF($AM$1=TRUE,IF(K36="","",IF(IF($AE$2="",IF(K36="","",SUBTOTAL(2,$K$3:K36)),IF(AND(G36&gt;=0,K36=""),"",IF(AND(G36&gt;0,OR(K36&gt;0,K36&lt;0)),SUBTOTAL(2,$K$3:K36),IF(AND(G36=0,OR(K36&gt;0,K36&lt;0)),SUBTOTAL(2,$K$3:K36)+200,""))))&gt;200,"",1)),IF(K36="","",IF(IF($AE$2="",IF(K36="","",SUBTOTAL(2,$K$3:K36)),IF(AND(G36&gt;=0,K36=""),"",IF(AND(G36&gt;0,OR(K36&gt;0,K36&lt;0)),SUBTOTAL(2,$K$3:K36),IF(AND(G36=0,OR(K36&gt;0,K36&lt;0)),SUBTOTAL(2,$K$3:K36)+200,""))))&gt;200,"",1)))</f>
        <v/>
      </c>
      <c r="N36" s="161" t="str">
        <f>IF($AM$1=TRUE,IF(K36="","",IF(IF($AE$2="",IF(K36="","",SUBTOTAL(2,$K$3:K36)),IF(AND(G36&gt;=0,K36=""),"",IF(AND(G36&gt;0,OR(K36&gt;0,K36&lt;0)),SUBTOTAL(2,$K$3:K36),IF(AND(G36=0,OR(K36&gt;0,K36&lt;0)),SUBTOTAL(2,$K$3:K36)+200,""))))&lt;=200,"",2)),IF(K36="","",IF(IF($AE$2="",IF(K36="","",SUBTOTAL(2,$K$3:K36)),IF(AND(G36&gt;=0,K36=""),"",IF(AND(G36&gt;0,OR(K36&gt;0,K36&lt;0)),SUBTOTAL(2,$K$3:K36),IF(AND(G36=0,OR(K36&gt;0,K36&lt;0)),SUBTOTAL(2,$K$3:K36)+200,""))))&lt;=200,"",2)))</f>
        <v/>
      </c>
      <c r="O36" s="463"/>
      <c r="P36" s="364">
        <f>IFERROR(IF($AE$2="추경",IF(VLOOKUP(R36,$B$1:$L$28,11,FALSE)&gt;=VLOOKUP(R36,$B$1:$L$28,6,FALSE),ROUNDUP(VLOOKUP(R36,$B$1:$L$28,11,FALSE)/U36,-3)*U36,VLOOKUP(R36,$B$1:$L$28,6,FALSE)),IF(VLOOKUP(R36,$B$1:$L$28,11,FALSE)&gt;0,VLOOKUP(R36,$B$1:$L$28,11,FALSE),VLOOKUP(R36,예산평균!$B:$D,3,FALSE))),0)</f>
        <v>0</v>
      </c>
      <c r="Q36" s="487">
        <v>0</v>
      </c>
      <c r="R36" s="357" t="s">
        <v>9</v>
      </c>
      <c r="S36" s="302" t="s">
        <v>6</v>
      </c>
      <c r="T36" s="358">
        <f t="shared" si="9"/>
        <v>0</v>
      </c>
      <c r="U36" s="365">
        <f t="shared" si="10"/>
        <v>12</v>
      </c>
      <c r="V36" s="360" t="s">
        <v>126</v>
      </c>
      <c r="X36" s="556" t="str">
        <f>IF(예산실적비교표!A26="X","",예산실적비교표!A26)</f>
        <v/>
      </c>
      <c r="Y36" s="750">
        <f>IF($AB$2="",0,IF(X36="",0,예산실적비교표!B26))</f>
        <v>0</v>
      </c>
      <c r="Z36" s="556" t="str">
        <f>IF(예산실적비교표!C26="X","",예산실적비교표!C26)</f>
        <v/>
      </c>
      <c r="AA36" s="750">
        <f>IF($AB$2="",0,IF(Z36="",0,예산실적비교표!D26))</f>
        <v>0</v>
      </c>
      <c r="AB36" s="556" t="str">
        <f>IF(예산실적비교표!E26="X","",예산실적비교표!E26)</f>
        <v/>
      </c>
      <c r="AC36" s="750">
        <f>IF($AB$2="",0,IF(AB36="",0,예산실적비교표!F26))</f>
        <v>0</v>
      </c>
      <c r="AD36" s="556" t="str">
        <f>IF(예산실적비교표!G26="X","",예산실적비교표!G26)</f>
        <v>직원복지관련비용</v>
      </c>
      <c r="AE36" s="750">
        <v>350000</v>
      </c>
      <c r="AF36" s="537">
        <f>IF($AF$35&lt;&gt;예산실적비교표!$B$3,$Y$8,예산실적비교표!I26)</f>
        <v>12</v>
      </c>
      <c r="AH36" s="294" t="str">
        <f>세출예산서!L75</f>
        <v xml:space="preserve">  - 상담,타시설 미팅등</v>
      </c>
      <c r="AI36" s="1344">
        <f>세출예산서!V75</f>
        <v>600000</v>
      </c>
      <c r="AJ36" s="1345"/>
      <c r="AP36" s="981" t="str">
        <f>IF(예산실적비교표!AL36&lt;&gt;"",예산실적비교표!AL36,"")</f>
        <v/>
      </c>
      <c r="AQ36" s="982" t="str">
        <f>IF(예산실적비교표!AM36&lt;&gt;"",예산실적비교표!AM36,"")</f>
        <v/>
      </c>
      <c r="AR36" s="983">
        <f>IF(AND(예산실적비교표!AN36&lt;&gt;"",예산실적비교표!AN36&gt;1),예산실적비교표!AN36,0)</f>
        <v>0</v>
      </c>
      <c r="AS36" s="984">
        <f>IF(예산실적비교표!AO36&lt;&gt;"",예산실적비교표!AO36,0)</f>
        <v>0</v>
      </c>
      <c r="AT36" s="971">
        <f t="shared" si="2"/>
        <v>0</v>
      </c>
      <c r="AU36" s="985">
        <f>IF(예산실적비교표!AQ36&lt;&gt;"",예산실적비교표!AQ36,0)</f>
        <v>0</v>
      </c>
      <c r="AV36" s="973">
        <f t="shared" si="5"/>
        <v>0</v>
      </c>
      <c r="AW36" s="974">
        <f>IF(AR36="","",ROUND((AT36*$AT$7)*데이터입력!$AE$14+(AT36*$AU$7)*데이터입력!$AE$14+(AT36*$AU$7*$AV$7)*데이터입력!$AE$14+(AT36*$AW$7)*데이터입력!$AE$14+(AT36*$AX$7)*데이터입력!$AE$14,-1))</f>
        <v>0</v>
      </c>
      <c r="AX36" s="975">
        <f t="shared" si="6"/>
        <v>0</v>
      </c>
      <c r="AY36" s="976">
        <f>IFERROR(IF($AE$2=TRUE,IF(AR36+AS36=0,0,AR36+AS36),ROUND(IF(데이터입력!$AE$14=100%,ROUND(AR36*$AR$1,-3),ROUND(AR36*$AR$1,-3)-ROUND(((AR36*$AR$1)*$AT$4)*(데이터입력!$AE$14-100%)+((AR36*$AR$1)*$AU$4)*(데이터입력!$AE$14-100%)+((AR36*$AR$1)*$AU$4*$AV$4)*(데이터입력!$AE$14-100%)+((AR36*$AR$1)*$AW$4)*(데이터입력!$AE$14-100%),-1)),0)),0)</f>
        <v>0</v>
      </c>
      <c r="AZ36" s="977">
        <f>IFERROR(IF(AR36+AS36=0,0,IF(데이터입력!$AE$12=100%,(AT36),(AT36)+ROUND(AT36*(데이터입력!$AE$12-100%),-1))),0)</f>
        <v>0</v>
      </c>
      <c r="BA36" s="1095" t="str">
        <f>IFERROR(IF(AZ36=0,"",IF(AND(예산실적비교표!AP36&gt;0,예산실적비교표!AW36=0),"",ROUND(AZ36/12,0))),0)</f>
        <v/>
      </c>
      <c r="BB36" s="1096" t="str">
        <f>IF(BA36="","",IF(데이터입력!$O$71="",ROUND(AZ36/12,0),ROUND(데이터입력!$O$71/데이터입력!$Y$8/$BC$11,0)))</f>
        <v/>
      </c>
      <c r="BC36" s="1107"/>
      <c r="BD36" s="1110" t="s">
        <v>732</v>
      </c>
      <c r="BE36" s="1169"/>
    </row>
    <row r="37" spans="1:70">
      <c r="A37" s="903" t="str">
        <f>IF($AM$1=TRUE,IF(K37="","",SUBTOTAL(2,$K$3:K37)),IF(AND(M37="",N37=""),"",IF(N37="",COUNT($M$3:M37),COUNT($N$3:N37)+200)))</f>
        <v/>
      </c>
      <c r="B37" s="368" t="s">
        <v>28</v>
      </c>
      <c r="C37" s="368" t="s">
        <v>28</v>
      </c>
      <c r="D37" s="367">
        <v>408010201</v>
      </c>
      <c r="E37" s="367" t="s">
        <v>85</v>
      </c>
      <c r="F37" s="367" t="s">
        <v>19</v>
      </c>
      <c r="G37" s="369">
        <f>IFERROR(IF($E37="05",VLOOKUP($B37,예산실적비교표!$AG$7:$AJ$200,2,FALSE),0),0)</f>
        <v>0</v>
      </c>
      <c r="H37" s="369">
        <f>IFERROR(IF($E37="06",VLOOKUP($C37,세입예산서!$K$3:$X$205,12,FALSE),0),0)</f>
        <v>0</v>
      </c>
      <c r="I37" s="369">
        <f>IFERROR(IF($E37="07",VLOOKUP($C37,세입예산서!$K$3:$X$205,13,FALSE),0),0)</f>
        <v>0</v>
      </c>
      <c r="J37" s="369">
        <f>IFERROR(IF($E37="05",VLOOKUP($C37,세입예산서!$K$3:$X$205,14,FALSE),0),0)</f>
        <v>0</v>
      </c>
      <c r="K37" s="369" t="str">
        <f t="shared" si="0"/>
        <v/>
      </c>
      <c r="L37" s="370">
        <f>IFERROR(IF($AB$2="",0,ROUNDUP(VLOOKUP($B37,예산실적비교표!$AG$7:$AJ$200,3,FALSE)*$Y$6/($Y$8-(12-$Y$9)),-2)*$Y$8),0)</f>
        <v>0</v>
      </c>
      <c r="M37" s="597" t="str">
        <f>IF($AM$1=TRUE,IF(K37="","",IF(IF($AE$2="",IF(K37="","",SUBTOTAL(2,$K$3:K37)),IF(AND(G37&gt;=0,K37=""),"",IF(AND(G37&gt;0,OR(K37&gt;0,K37&lt;0)),SUBTOTAL(2,$K$3:K37),IF(AND(G37=0,OR(K37&gt;0,K37&lt;0)),SUBTOTAL(2,$K$3:K37)+200,""))))&gt;200,"",1)),IF(K37="","",IF(IF($AE$2="",IF(K37="","",SUBTOTAL(2,$K$3:K37)),IF(AND(G37&gt;=0,K37=""),"",IF(AND(G37&gt;0,OR(K37&gt;0,K37&lt;0)),SUBTOTAL(2,$K$3:K37),IF(AND(G37=0,OR(K37&gt;0,K37&lt;0)),SUBTOTAL(2,$K$3:K37)+200,""))))&gt;200,"",1)))</f>
        <v/>
      </c>
      <c r="N37" s="161" t="str">
        <f>IF($AM$1=TRUE,IF(K37="","",IF(IF($AE$2="",IF(K37="","",SUBTOTAL(2,$K$3:K37)),IF(AND(G37&gt;=0,K37=""),"",IF(AND(G37&gt;0,OR(K37&gt;0,K37&lt;0)),SUBTOTAL(2,$K$3:K37),IF(AND(G37=0,OR(K37&gt;0,K37&lt;0)),SUBTOTAL(2,$K$3:K37)+200,""))))&lt;=200,"",2)),IF(K37="","",IF(IF($AE$2="",IF(K37="","",SUBTOTAL(2,$K$3:K37)),IF(AND(G37&gt;=0,K37=""),"",IF(AND(G37&gt;0,OR(K37&gt;0,K37&lt;0)),SUBTOTAL(2,$K$3:K37),IF(AND(G37=0,OR(K37&gt;0,K37&lt;0)),SUBTOTAL(2,$K$3:K37)+200,""))))&lt;=200,"",2)))</f>
        <v/>
      </c>
      <c r="O37" s="463"/>
      <c r="P37" s="364">
        <f>IFERROR(IF($AE$2="추경",IF(VLOOKUP(R37,$B$1:$L$28,11,FALSE)&gt;=VLOOKUP(R37,$B$1:$L$28,6,FALSE),ROUNDUP(VLOOKUP(R37,$B$1:$L$28,11,FALSE)/U37,-3)*U37,VLOOKUP(R37,$B$1:$L$28,6,FALSE)),IF(VLOOKUP(R37,$B$1:$L$28,11,FALSE)&gt;0,VLOOKUP(R37,$B$1:$L$28,11,FALSE),VLOOKUP(R37,예산평균!$B:$D,3,FALSE))),0)</f>
        <v>36000000</v>
      </c>
      <c r="Q37" s="487">
        <v>0</v>
      </c>
      <c r="R37" s="357" t="s">
        <v>10</v>
      </c>
      <c r="S37" s="302" t="s">
        <v>6</v>
      </c>
      <c r="T37" s="358">
        <f t="shared" si="9"/>
        <v>36000000</v>
      </c>
      <c r="U37" s="365">
        <f t="shared" si="10"/>
        <v>12</v>
      </c>
      <c r="V37" s="360" t="s">
        <v>126</v>
      </c>
      <c r="X37" s="556" t="str">
        <f>IF(예산실적비교표!A27="X","",예산실적비교표!A27)</f>
        <v/>
      </c>
      <c r="Y37" s="750">
        <f>IF($AB$2="",0,IF(X37="",0,예산실적비교표!B27))</f>
        <v>0</v>
      </c>
      <c r="Z37" s="556" t="str">
        <f>IF(예산실적비교표!C27="X","",예산실적비교표!C27)</f>
        <v/>
      </c>
      <c r="AA37" s="750">
        <f>IF($AB$2="",0,IF(Z37="",0,예산실적비교표!D27))</f>
        <v>0</v>
      </c>
      <c r="AB37" s="556" t="str">
        <f>IF(예산실적비교표!E27="X","",예산실적비교표!E27)</f>
        <v/>
      </c>
      <c r="AC37" s="750">
        <f>IF($AB$2="",0,IF(AB37="",0,예산실적비교표!F27))</f>
        <v>0</v>
      </c>
      <c r="AD37" s="556" t="str">
        <f>IF(예산실적비교표!G27="X","",예산실적비교표!G27)</f>
        <v>경조사비(직원)</v>
      </c>
      <c r="AE37" s="750">
        <f>IF($AB$2="",0,IF(AD37="",0,예산실적비교표!H27))</f>
        <v>100000</v>
      </c>
      <c r="AF37" s="537">
        <f>IF($AF$35&lt;&gt;예산실적비교표!$B$3,$Y$8,예산실적비교표!I27)</f>
        <v>12</v>
      </c>
      <c r="AH37" s="279" t="str">
        <f>세출예산서!L76</f>
        <v xml:space="preserve">  - 직원복지관련비용</v>
      </c>
      <c r="AI37" s="1346">
        <f>세출예산서!V76</f>
        <v>4200000</v>
      </c>
      <c r="AJ37" s="1347"/>
      <c r="AP37" s="981" t="str">
        <f>IF(예산실적비교표!AL37&lt;&gt;"",예산실적비교표!AL37,"")</f>
        <v/>
      </c>
      <c r="AQ37" s="982" t="str">
        <f>IF(예산실적비교표!AM37&lt;&gt;"",예산실적비교표!AM37,"")</f>
        <v/>
      </c>
      <c r="AR37" s="983">
        <f>IF(AND(예산실적비교표!AN37&lt;&gt;"",예산실적비교표!AN37&gt;1),예산실적비교표!AN37,0)</f>
        <v>0</v>
      </c>
      <c r="AS37" s="984">
        <f>IF(예산실적비교표!AO37&lt;&gt;"",예산실적비교표!AO37,0)</f>
        <v>0</v>
      </c>
      <c r="AT37" s="971">
        <f t="shared" si="2"/>
        <v>0</v>
      </c>
      <c r="AU37" s="985">
        <f>IF(예산실적비교표!AQ37&lt;&gt;"",예산실적비교표!AQ37,0)</f>
        <v>0</v>
      </c>
      <c r="AV37" s="973">
        <f t="shared" si="5"/>
        <v>0</v>
      </c>
      <c r="AW37" s="974">
        <f>IF(AR37="","",ROUND((AT37*$AT$7)*데이터입력!$AE$14+(AT37*$AU$7)*데이터입력!$AE$14+(AT37*$AU$7*$AV$7)*데이터입력!$AE$14+(AT37*$AW$7)*데이터입력!$AE$14+(AT37*$AX$7)*데이터입력!$AE$14,-1))</f>
        <v>0</v>
      </c>
      <c r="AX37" s="975">
        <f t="shared" si="6"/>
        <v>0</v>
      </c>
      <c r="AY37" s="976">
        <f>IFERROR(IF($AE$2=TRUE,IF(AR37+AS37=0,0,AR37+AS37),ROUND(IF(데이터입력!$AE$14=100%,ROUND(AR37*$AR$1,-3),ROUND(AR37*$AR$1,-3)-ROUND(((AR37*$AR$1)*$AT$4)*(데이터입력!$AE$14-100%)+((AR37*$AR$1)*$AU$4)*(데이터입력!$AE$14-100%)+((AR37*$AR$1)*$AU$4*$AV$4)*(데이터입력!$AE$14-100%)+((AR37*$AR$1)*$AW$4)*(데이터입력!$AE$14-100%),-1)),0)),0)</f>
        <v>0</v>
      </c>
      <c r="AZ37" s="977">
        <f>IFERROR(IF(AR37+AS37=0,0,IF(데이터입력!$AE$12=100%,(AT37),(AT37)+ROUND(AT37*(데이터입력!$AE$12-100%),-1))),0)</f>
        <v>0</v>
      </c>
      <c r="BA37" s="1095" t="str">
        <f>IFERROR(IF(AZ37=0,"",IF(AND(예산실적비교표!AP37&gt;0,예산실적비교표!AW37=0),"",ROUND(AZ37/12,0))),0)</f>
        <v/>
      </c>
      <c r="BB37" s="1096" t="str">
        <f>IF(BA37="","",IF(데이터입력!$O$71="",ROUND(AZ37/12,0),ROUND(데이터입력!$O$71/데이터입력!$Y$8/$BC$11,0)))</f>
        <v/>
      </c>
      <c r="BC37" s="1108"/>
      <c r="BD37" s="1111" t="s">
        <v>738</v>
      </c>
      <c r="BE37" s="1170"/>
    </row>
    <row r="38" spans="1:70">
      <c r="A38" s="903" t="str">
        <f>IF($AM$1=TRUE,IF(K38="","",SUBTOTAL(2,$K$3:K38)),IF(AND(M38="",N38=""),"",IF(N38="",COUNT($M$3:M38),COUNT($N$3:N38)+200)))</f>
        <v/>
      </c>
      <c r="B38" s="368" t="s">
        <v>30</v>
      </c>
      <c r="C38" s="368" t="s">
        <v>30</v>
      </c>
      <c r="D38" s="367">
        <v>408010401</v>
      </c>
      <c r="E38" s="367" t="s">
        <v>85</v>
      </c>
      <c r="F38" s="367" t="s">
        <v>19</v>
      </c>
      <c r="G38" s="369">
        <f>IFERROR(IF($E38="05",VLOOKUP($B38,예산실적비교표!$AG$7:$AJ$200,2,FALSE),0),0)</f>
        <v>0</v>
      </c>
      <c r="H38" s="369">
        <f>IFERROR(IF($E38="06",VLOOKUP($C38,세입예산서!$K$3:$X$205,12,FALSE),0),0)</f>
        <v>0</v>
      </c>
      <c r="I38" s="369">
        <f>IFERROR(IF($E38="07",VLOOKUP($C38,세입예산서!$K$3:$X$205,13,FALSE),0),0)</f>
        <v>0</v>
      </c>
      <c r="J38" s="369">
        <f>IFERROR(IF($E38="05",VLOOKUP($C38,세입예산서!$K$3:$X$205,14,FALSE),0),0)</f>
        <v>0</v>
      </c>
      <c r="K38" s="369" t="str">
        <f t="shared" si="0"/>
        <v/>
      </c>
      <c r="L38" s="370">
        <f>IFERROR(IF($AB$2="",0,ROUNDUP(VLOOKUP($B38,예산실적비교표!$AG$7:$AJ$200,3,FALSE)*$Y$6/($Y$8-(12-$Y$9)),-2)*$Y$8),0)</f>
        <v>0</v>
      </c>
      <c r="M38" s="597" t="str">
        <f>IF($AM$1=TRUE,IF(K38="","",IF(IF($AE$2="",IF(K38="","",SUBTOTAL(2,$K$3:K38)),IF(AND(G38&gt;=0,K38=""),"",IF(AND(G38&gt;0,OR(K38&gt;0,K38&lt;0)),SUBTOTAL(2,$K$3:K38),IF(AND(G38=0,OR(K38&gt;0,K38&lt;0)),SUBTOTAL(2,$K$3:K38)+200,""))))&gt;200,"",1)),IF(K38="","",IF(IF($AE$2="",IF(K38="","",SUBTOTAL(2,$K$3:K38)),IF(AND(G38&gt;=0,K38=""),"",IF(AND(G38&gt;0,OR(K38&gt;0,K38&lt;0)),SUBTOTAL(2,$K$3:K38),IF(AND(G38=0,OR(K38&gt;0,K38&lt;0)),SUBTOTAL(2,$K$3:K38)+200,""))))&gt;200,"",1)))</f>
        <v/>
      </c>
      <c r="N38" s="161" t="str">
        <f>IF($AM$1=TRUE,IF(K38="","",IF(IF($AE$2="",IF(K38="","",SUBTOTAL(2,$K$3:K38)),IF(AND(G38&gt;=0,K38=""),"",IF(AND(G38&gt;0,OR(K38&gt;0,K38&lt;0)),SUBTOTAL(2,$K$3:K38),IF(AND(G38=0,OR(K38&gt;0,K38&lt;0)),SUBTOTAL(2,$K$3:K38)+200,""))))&lt;=200,"",2)),IF(K38="","",IF(IF($AE$2="",IF(K38="","",SUBTOTAL(2,$K$3:K38)),IF(AND(G38&gt;=0,K38=""),"",IF(AND(G38&gt;0,OR(K38&gt;0,K38&lt;0)),SUBTOTAL(2,$K$3:K38),IF(AND(G38=0,OR(K38&gt;0,K38&lt;0)),SUBTOTAL(2,$K$3:K38)+200,""))))&lt;=200,"",2)))</f>
        <v/>
      </c>
      <c r="O38" s="463"/>
      <c r="P38" s="364">
        <f>IFERROR(IF($AE$2="추경",IF(VLOOKUP(R38,$B$1:$L$28,11,FALSE)&gt;=VLOOKUP(R38,$B$1:$L$28,6,FALSE),ROUNDUP(VLOOKUP(R38,$B$1:$L$28,11,FALSE)/U38,-3)*U38,VLOOKUP(R38,$B$1:$L$28,6,FALSE)),IF(VLOOKUP(R38,$B$1:$L$28,11,FALSE)&gt;0,VLOOKUP(R38,$B$1:$L$28,11,FALSE),VLOOKUP(R38,예산평균!$B:$D,3,FALSE))),0)</f>
        <v>0</v>
      </c>
      <c r="Q38" s="487">
        <v>0</v>
      </c>
      <c r="R38" s="357" t="s">
        <v>12</v>
      </c>
      <c r="S38" s="302" t="s">
        <v>6</v>
      </c>
      <c r="T38" s="358">
        <f>IF(O38="",P38,O38)</f>
        <v>0</v>
      </c>
      <c r="U38" s="365">
        <f t="shared" si="10"/>
        <v>12</v>
      </c>
      <c r="V38" s="360" t="s">
        <v>126</v>
      </c>
      <c r="X38" s="556" t="str">
        <f>IF(예산실적비교표!A28="X","",예산실적비교표!A28)</f>
        <v/>
      </c>
      <c r="Y38" s="750">
        <f>IF($AB$2="",0,IF(X38="",0,예산실적비교표!B28))</f>
        <v>0</v>
      </c>
      <c r="Z38" s="556" t="str">
        <f>IF(예산실적비교표!C28="X","",예산실적비교표!C28)</f>
        <v/>
      </c>
      <c r="AA38" s="750">
        <f>IF($AB$2="",0,IF(Z38="",0,예산실적비교표!D28))</f>
        <v>0</v>
      </c>
      <c r="AB38" s="556" t="str">
        <f>IF(예산실적비교표!E28="X","",예산실적비교표!E28)</f>
        <v/>
      </c>
      <c r="AC38" s="750">
        <f>IF($AB$2="",0,IF(AB38="",0,예산실적비교표!F28))</f>
        <v>0</v>
      </c>
      <c r="AD38" s="556" t="str">
        <f>IF(예산실적비교표!G28="X","",예산실적비교표!G28)</f>
        <v/>
      </c>
      <c r="AE38" s="750">
        <f>IF($AB$2="",0,IF(AD38="",0,예산실적비교표!H28))</f>
        <v>0</v>
      </c>
      <c r="AF38" s="537">
        <f>IF($AF$35&lt;&gt;예산실적비교표!$B$3,$Y$8,예산실적비교표!I28)</f>
        <v>12</v>
      </c>
      <c r="AH38" s="279" t="str">
        <f>세출예산서!L77</f>
        <v xml:space="preserve">  - 경조사비(직원)</v>
      </c>
      <c r="AI38" s="1346">
        <f>세출예산서!V77</f>
        <v>1200000</v>
      </c>
      <c r="AJ38" s="1347"/>
      <c r="AP38" s="981" t="str">
        <f>IF(예산실적비교표!AL38&lt;&gt;"",예산실적비교표!AL38,"")</f>
        <v/>
      </c>
      <c r="AQ38" s="982" t="str">
        <f>IF(예산실적비교표!AM38&lt;&gt;"",예산실적비교표!AM38,"")</f>
        <v/>
      </c>
      <c r="AR38" s="983">
        <f>IF(AND(예산실적비교표!AN38&lt;&gt;"",예산실적비교표!AN38&gt;1),예산실적비교표!AN38,0)</f>
        <v>0</v>
      </c>
      <c r="AS38" s="984">
        <f>IF(예산실적비교표!AO38&lt;&gt;"",예산실적비교표!AO38,0)</f>
        <v>0</v>
      </c>
      <c r="AT38" s="971">
        <f t="shared" si="2"/>
        <v>0</v>
      </c>
      <c r="AU38" s="985">
        <f>IF(예산실적비교표!AQ38&lt;&gt;"",예산실적비교표!AQ38,0)</f>
        <v>0</v>
      </c>
      <c r="AV38" s="973">
        <f t="shared" si="5"/>
        <v>0</v>
      </c>
      <c r="AW38" s="974">
        <f>IF(AR38="","",ROUND((AT38*$AT$7)*데이터입력!$AE$14+(AT38*$AU$7)*데이터입력!$AE$14+(AT38*$AU$7*$AV$7)*데이터입력!$AE$14+(AT38*$AW$7)*데이터입력!$AE$14+(AT38*$AX$7)*데이터입력!$AE$14,-1))</f>
        <v>0</v>
      </c>
      <c r="AX38" s="975">
        <f t="shared" si="6"/>
        <v>0</v>
      </c>
      <c r="AY38" s="976">
        <f>IFERROR(IF($AE$2=TRUE,IF(AR38+AS38=0,0,AR38+AS38),ROUND(IF(데이터입력!$AE$14=100%,ROUND(AR38*$AR$1,-3),ROUND(AR38*$AR$1,-3)-ROUND(((AR38*$AR$1)*$AT$4)*(데이터입력!$AE$14-100%)+((AR38*$AR$1)*$AU$4)*(데이터입력!$AE$14-100%)+((AR38*$AR$1)*$AU$4*$AV$4)*(데이터입력!$AE$14-100%)+((AR38*$AR$1)*$AW$4)*(데이터입력!$AE$14-100%),-1)),0)),0)</f>
        <v>0</v>
      </c>
      <c r="AZ38" s="977">
        <f>IFERROR(IF(AR38+AS38=0,0,IF(데이터입력!$AE$12=100%,(AT38),(AT38)+ROUND(AT38*(데이터입력!$AE$12-100%),-1))),0)</f>
        <v>0</v>
      </c>
      <c r="BA38" s="1095" t="str">
        <f>IFERROR(IF(AZ38=0,"",IF(AND(예산실적비교표!AP38&gt;0,예산실적비교표!AW38=0),"",ROUND(AZ38/12,0))),0)</f>
        <v/>
      </c>
      <c r="BB38" s="1096" t="str">
        <f>IF(BA38="","",IF(데이터입력!$O$71="",ROUND(AZ38/12,0),ROUND(데이터입력!$O$71/데이터입력!$Y$8/$BC$11,0)))</f>
        <v/>
      </c>
      <c r="BC38" s="1106" t="s">
        <v>223</v>
      </c>
      <c r="BD38" s="1109" t="s">
        <v>731</v>
      </c>
      <c r="BE38" s="1168">
        <f>AI21</f>
        <v>0.876</v>
      </c>
    </row>
    <row r="39" spans="1:70" ht="27" customHeight="1">
      <c r="A39" s="903" t="str">
        <f>IF($AM$1=TRUE,IF(K39="","",SUBTOTAL(2,$K$3:K39)),IF(AND(M39="",N39=""),"",IF(N39="",COUNT($M$3:M39),COUNT($N$3:N39)+200)))</f>
        <v/>
      </c>
      <c r="B39" s="368" t="s">
        <v>32</v>
      </c>
      <c r="C39" s="368" t="s">
        <v>32</v>
      </c>
      <c r="D39" s="367">
        <v>409010201</v>
      </c>
      <c r="E39" s="367" t="s">
        <v>85</v>
      </c>
      <c r="F39" s="367" t="s">
        <v>19</v>
      </c>
      <c r="G39" s="369">
        <f>IFERROR(IF($E39="05",VLOOKUP($B39,예산실적비교표!$AG$7:$AJ$200,2,FALSE),0),0)</f>
        <v>0</v>
      </c>
      <c r="H39" s="369">
        <f>IFERROR(IF($E39="06",VLOOKUP($C39,세입예산서!$K$3:$X$205,12,FALSE),0),0)</f>
        <v>0</v>
      </c>
      <c r="I39" s="369">
        <f>IFERROR(IF($E39="07",VLOOKUP($C39,세입예산서!$K$3:$X$205,13,FALSE),0),0)</f>
        <v>0</v>
      </c>
      <c r="J39" s="369">
        <f>IFERROR(IF($E39="05",VLOOKUP($C39,세입예산서!$K$3:$X$205,14,FALSE),0),0)</f>
        <v>0</v>
      </c>
      <c r="K39" s="369" t="str">
        <f t="shared" si="0"/>
        <v/>
      </c>
      <c r="L39" s="370">
        <f>IFERROR(IF($AB$2="",0,ROUNDUP(VLOOKUP($B39,예산실적비교표!$AG$7:$AJ$200,3,FALSE),0)),0)</f>
        <v>0</v>
      </c>
      <c r="M39" s="597" t="str">
        <f>IF($AM$1=TRUE,IF(K39="","",IF(IF($AE$2="",IF(K39="","",SUBTOTAL(2,$K$3:K39)),IF(AND(G39&gt;=0,K39=""),"",IF(AND(G39&gt;0,OR(K39&gt;0,K39&lt;0)),SUBTOTAL(2,$K$3:K39),IF(AND(G39=0,OR(K39&gt;0,K39&lt;0)),SUBTOTAL(2,$K$3:K39)+200,""))))&gt;200,"",1)),IF(K39="","",IF(IF($AE$2="",IF(K39="","",SUBTOTAL(2,$K$3:K39)),IF(AND(G39&gt;=0,K39=""),"",IF(AND(G39&gt;0,OR(K39&gt;0,K39&lt;0)),SUBTOTAL(2,$K$3:K39),IF(AND(G39=0,OR(K39&gt;0,K39&lt;0)),SUBTOTAL(2,$K$3:K39)+200,""))))&gt;200,"",1)))</f>
        <v/>
      </c>
      <c r="N39" s="161" t="str">
        <f>IF($AM$1=TRUE,IF(K39="","",IF(IF($AE$2="",IF(K39="","",SUBTOTAL(2,$K$3:K39)),IF(AND(G39&gt;=0,K39=""),"",IF(AND(G39&gt;0,OR(K39&gt;0,K39&lt;0)),SUBTOTAL(2,$K$3:K39),IF(AND(G39=0,OR(K39&gt;0,K39&lt;0)),SUBTOTAL(2,$K$3:K39)+200,""))))&lt;=200,"",2)),IF(K39="","",IF(IF($AE$2="",IF(K39="","",SUBTOTAL(2,$K$3:K39)),IF(AND(G39&gt;=0,K39=""),"",IF(AND(G39&gt;0,OR(K39&gt;0,K39&lt;0)),SUBTOTAL(2,$K$3:K39),IF(AND(G39=0,OR(K39&gt;0,K39&lt;0)),SUBTOTAL(2,$K$3:K39)+200,""))))&lt;=200,"",2)))</f>
        <v/>
      </c>
      <c r="O39" s="463"/>
      <c r="P39" s="364">
        <f>IFERROR(IF($AE$2="추경",IF(VLOOKUP(R39,$B$1:$L$28,11,FALSE)&gt;=VLOOKUP(R39,$B$1:$L$28,6,FALSE),ROUNDUP(VLOOKUP(R39,$B$1:$L$28,11,FALSE)/U39,-3)*U39,VLOOKUP(R39,$B$1:$L$28,6,FALSE)),IF(VLOOKUP(R39,$B$1:$L$28,11,FALSE)&gt;0,VLOOKUP(R39,$B$1:$L$28,11,FALSE),VLOOKUP(R39,예산평균!$B:$D,3,FALSE))),0)</f>
        <v>0</v>
      </c>
      <c r="Q39" s="487">
        <v>0</v>
      </c>
      <c r="R39" s="357" t="s">
        <v>13</v>
      </c>
      <c r="S39" s="302" t="s">
        <v>6</v>
      </c>
      <c r="T39" s="358">
        <f t="shared" si="9"/>
        <v>0</v>
      </c>
      <c r="U39" s="365">
        <f t="shared" si="10"/>
        <v>12</v>
      </c>
      <c r="V39" s="371" t="s">
        <v>141</v>
      </c>
      <c r="X39" s="556" t="str">
        <f>IF(예산실적비교표!A29="X","",예산실적비교표!A29)</f>
        <v/>
      </c>
      <c r="Y39" s="750">
        <f>IF($AB$2="",0,IF(X39="",0,예산실적비교표!B29))</f>
        <v>0</v>
      </c>
      <c r="Z39" s="556" t="str">
        <f>IF(예산실적비교표!C29="X","",예산실적비교표!C29)</f>
        <v/>
      </c>
      <c r="AA39" s="750">
        <f>IF($AB$2="",0,IF(Z39="",0,예산실적비교표!D29))</f>
        <v>0</v>
      </c>
      <c r="AB39" s="556" t="str">
        <f>IF(예산실적비교표!E29="X","",예산실적비교표!E29)</f>
        <v/>
      </c>
      <c r="AC39" s="750">
        <f>IF($AB$2="",0,IF(AB39="",0,예산실적비교표!F29))</f>
        <v>0</v>
      </c>
      <c r="AD39" s="556" t="str">
        <f>IF(예산실적비교표!G29="X","",예산실적비교표!G29)</f>
        <v/>
      </c>
      <c r="AE39" s="750">
        <f>IF($AB$2="",0,IF(AD39="",0,예산실적비교표!H29))</f>
        <v>0</v>
      </c>
      <c r="AF39" s="537">
        <f>IF($AF$35&lt;&gt;예산실적비교표!$B$3,$Y$8,예산실적비교표!I29)</f>
        <v>12</v>
      </c>
      <c r="AH39" s="279" t="str">
        <f>세출예산서!L78</f>
        <v xml:space="preserve">  - </v>
      </c>
      <c r="AI39" s="1346">
        <f>세출예산서!V78</f>
        <v>0</v>
      </c>
      <c r="AJ39" s="1347"/>
      <c r="AP39" s="981" t="str">
        <f>IF(예산실적비교표!AL39&lt;&gt;"",예산실적비교표!AL39,"")</f>
        <v/>
      </c>
      <c r="AQ39" s="982" t="str">
        <f>IF(예산실적비교표!AM39&lt;&gt;"",예산실적비교표!AM39,"")</f>
        <v/>
      </c>
      <c r="AR39" s="983">
        <f>IF(AND(예산실적비교표!AN39&lt;&gt;"",예산실적비교표!AN39&gt;1),예산실적비교표!AN39,0)</f>
        <v>0</v>
      </c>
      <c r="AS39" s="984">
        <f>IF(예산실적비교표!AO39&lt;&gt;"",예산실적비교표!AO39,0)</f>
        <v>0</v>
      </c>
      <c r="AT39" s="971">
        <f t="shared" si="2"/>
        <v>0</v>
      </c>
      <c r="AU39" s="985">
        <f>IF(예산실적비교표!AQ39&lt;&gt;"",예산실적비교표!AQ39,0)</f>
        <v>0</v>
      </c>
      <c r="AV39" s="973">
        <f t="shared" si="5"/>
        <v>0</v>
      </c>
      <c r="AW39" s="974">
        <f>IF(AR39="","",ROUND((AT39*$AT$7)*데이터입력!$AE$14+(AT39*$AU$7)*데이터입력!$AE$14+(AT39*$AU$7*$AV$7)*데이터입력!$AE$14+(AT39*$AW$7)*데이터입력!$AE$14+(AT39*$AX$7)*데이터입력!$AE$14,-1))</f>
        <v>0</v>
      </c>
      <c r="AX39" s="975">
        <f t="shared" si="6"/>
        <v>0</v>
      </c>
      <c r="AY39" s="976">
        <f>IFERROR(IF($AE$2=TRUE,IF(AR39+AS39=0,0,AR39+AS39),ROUND(IF(데이터입력!$AE$14=100%,ROUND(AR39*$AR$1,-3),ROUND(AR39*$AR$1,-3)-ROUND(((AR39*$AR$1)*$AT$4)*(데이터입력!$AE$14-100%)+((AR39*$AR$1)*$AU$4)*(데이터입력!$AE$14-100%)+((AR39*$AR$1)*$AU$4*$AV$4)*(데이터입력!$AE$14-100%)+((AR39*$AR$1)*$AW$4)*(데이터입력!$AE$14-100%),-1)),0)),0)</f>
        <v>0</v>
      </c>
      <c r="AZ39" s="977">
        <f>IFERROR(IF(AR39+AS39=0,0,IF(데이터입력!$AE$12=100%,(AT39),(AT39)+ROUND(AT39*(데이터입력!$AE$12-100%),-1))),0)</f>
        <v>0</v>
      </c>
      <c r="BA39" s="1095" t="str">
        <f>IFERROR(IF(AZ39=0,"",IF(AND(예산실적비교표!AP39&gt;0,예산실적비교표!AW39=0),"",ROUND(AZ39/12,0))),0)</f>
        <v/>
      </c>
      <c r="BB39" s="1096" t="str">
        <f>IF(BA39="","",IF(데이터입력!$O$71="",ROUND(AZ39/12,0),ROUND(데이터입력!$O$71/데이터입력!$Y$8/$BC$11,0)))</f>
        <v/>
      </c>
      <c r="BC39" s="1108"/>
      <c r="BD39" s="1111" t="s">
        <v>732</v>
      </c>
      <c r="BE39" s="1170"/>
    </row>
    <row r="40" spans="1:70" ht="27.75" customHeight="1" thickBot="1">
      <c r="A40" s="903" t="str">
        <f>IF($AM$1=TRUE,IF(K40="","",SUBTOTAL(2,$K$3:K40)),IF(AND(M40="",N40=""),"",IF(N40="",COUNT($M$3:M40),COUNT($N$3:N40)+200)))</f>
        <v/>
      </c>
      <c r="B40" s="368" t="s">
        <v>488</v>
      </c>
      <c r="C40" s="368" t="s">
        <v>523</v>
      </c>
      <c r="D40" s="367">
        <v>410010201</v>
      </c>
      <c r="E40" s="367" t="s">
        <v>85</v>
      </c>
      <c r="F40" s="367" t="s">
        <v>82</v>
      </c>
      <c r="G40" s="369">
        <f>IFERROR(IF($E40="05",VLOOKUP($B40,예산실적비교표!$AG$7:$AJ$200,2,FALSE),0),0)+IFERROR(IF($E40="05",VLOOKUP($B28,예산실적비교표!$AG$7:$AJ$200,2,FALSE),0),0)</f>
        <v>0</v>
      </c>
      <c r="H40" s="369">
        <f>IFERROR(IF($E40="06",VLOOKUP($C40,세입예산서!$K$3:$X$205,12,FALSE),0),0)</f>
        <v>0</v>
      </c>
      <c r="I40" s="369">
        <f>IFERROR(IF($E40="07",VLOOKUP($C40,세입예산서!$K$3:$X$205,13,FALSE),0),0)</f>
        <v>0</v>
      </c>
      <c r="J40" s="369">
        <f>IFERROR(IF($E40="05",VLOOKUP($C40,세입예산서!$K$3:$X$205,14,FALSE),0),0)</f>
        <v>0</v>
      </c>
      <c r="K40" s="369" t="str">
        <f t="shared" si="0"/>
        <v/>
      </c>
      <c r="L40" s="370">
        <f>IFERROR(IF($AE$2=TRUE,IF($AB$2="",0,IF(ROUNDUP(VLOOKUP($B40,예산실적비교표!$AG$7:$AJ$200,3,FALSE)*$U$68,-2)&lt;10000,10000,ROUNDUP(VLOOKUP($B40,예산실적비교표!$AG$7:$AJ$200,3,FALSE)*$Y$6/($Y$8-(12-$Y$9)),-2)*$Y$8)),VLOOKUP($B40,예산실적비교표!$AG$7:$AJ$200,3,FALSE)),0)</f>
        <v>0</v>
      </c>
      <c r="M40" s="597" t="str">
        <f>IF($AM$1=TRUE,IF(K40="","",IF(IF($AE$2="",IF(K40="","",SUBTOTAL(2,$K$3:K40)),IF(AND(G40&gt;=0,K40=""),"",IF(AND(G40&gt;0,OR(K40&gt;0,K40&lt;0)),SUBTOTAL(2,$K$3:K40),IF(AND(G40=0,OR(K40&gt;0,K40&lt;0)),SUBTOTAL(2,$K$3:K40)+200,""))))&gt;200,"",1)),IF(K40="","",IF(IF($AE$2="",IF(K40="","",SUBTOTAL(2,$K$3:K40)),IF(AND(G40&gt;=0,K40=""),"",IF(AND(G40&gt;0,OR(K40&gt;0,K40&lt;0)),SUBTOTAL(2,$K$3:K40),IF(AND(G40=0,OR(K40&gt;0,K40&lt;0)),SUBTOTAL(2,$K$3:K40)+200,""))))&gt;200,"",1)))</f>
        <v/>
      </c>
      <c r="N40" s="161" t="str">
        <f>IF($AM$1=TRUE,IF(K40="","",IF(IF($AE$2="",IF(K40="","",SUBTOTAL(2,$K$3:K40)),IF(AND(G40&gt;=0,K40=""),"",IF(AND(G40&gt;0,OR(K40&gt;0,K40&lt;0)),SUBTOTAL(2,$K$3:K40),IF(AND(G40=0,OR(K40&gt;0,K40&lt;0)),SUBTOTAL(2,$K$3:K40)+200,""))))&lt;=200,"",2)),IF(K40="","",IF(IF($AE$2="",IF(K40="","",SUBTOTAL(2,$K$3:K40)),IF(AND(G40&gt;=0,K40=""),"",IF(AND(G40&gt;0,OR(K40&gt;0,K40&lt;0)),SUBTOTAL(2,$K$3:K40),IF(AND(G40=0,OR(K40&gt;0,K40&lt;0)),SUBTOTAL(2,$K$3:K40)+200,""))))&lt;=200,"",2)))</f>
        <v/>
      </c>
      <c r="O40" s="463"/>
      <c r="P40" s="364">
        <f>IFERROR(IF($AE$2="추경",IF(VLOOKUP(R40,$B$1:$L$28,11,FALSE)&gt;=VLOOKUP(R40,$B$1:$L$28,6,FALSE),ROUNDUP(VLOOKUP(R40,$B$1:$L$28,11,FALSE)/U40,-3)*U40,VLOOKUP(R40,$B$1:$L$28,6,FALSE)),IF(VLOOKUP(R40,$B$1:$L$28,11,FALSE)&gt;0,VLOOKUP(R40,$B$1:$L$28,11,FALSE),VLOOKUP(R40,예산평균!$B:$D,3,FALSE))),0)</f>
        <v>0</v>
      </c>
      <c r="Q40" s="487">
        <v>0</v>
      </c>
      <c r="R40" s="357" t="s">
        <v>15</v>
      </c>
      <c r="S40" s="302" t="s">
        <v>6</v>
      </c>
      <c r="T40" s="358">
        <f t="shared" si="9"/>
        <v>0</v>
      </c>
      <c r="U40" s="365">
        <f t="shared" si="10"/>
        <v>12</v>
      </c>
      <c r="V40" s="372" t="s">
        <v>141</v>
      </c>
      <c r="X40" s="556" t="str">
        <f>IF(예산실적비교표!A30="X","",예산실적비교표!A30)</f>
        <v/>
      </c>
      <c r="Y40" s="750">
        <f>IF($AB$2="",0,IF(X40="",0,예산실적비교표!B30))</f>
        <v>0</v>
      </c>
      <c r="Z40" s="556" t="str">
        <f>IF(예산실적비교표!C30="X","",예산실적비교표!C30)</f>
        <v/>
      </c>
      <c r="AA40" s="750">
        <f>IF($AB$2="",0,IF(Z40="",0,예산실적비교표!D30))</f>
        <v>0</v>
      </c>
      <c r="AB40" s="556" t="str">
        <f>IF(예산실적비교표!E30="X","",예산실적비교표!E30)</f>
        <v/>
      </c>
      <c r="AC40" s="750">
        <f>IF($AB$2="",0,IF(AB40="",0,예산실적비교표!F30))</f>
        <v>0</v>
      </c>
      <c r="AD40" s="556" t="str">
        <f>IF(예산실적비교표!G30="X","",예산실적비교표!G30)</f>
        <v/>
      </c>
      <c r="AE40" s="750">
        <f>IF($AB$2="",0,IF(AD40="",0,예산실적비교표!H30))</f>
        <v>0</v>
      </c>
      <c r="AF40" s="537">
        <f>IF($AF$35&lt;&gt;예산실적비교표!$B$3,$Y$8,예산실적비교표!I30)</f>
        <v>12</v>
      </c>
      <c r="AH40" s="279" t="str">
        <f>세출예산서!L79</f>
        <v xml:space="preserve">  - </v>
      </c>
      <c r="AI40" s="1346">
        <f>세출예산서!V79</f>
        <v>0</v>
      </c>
      <c r="AJ40" s="1347"/>
      <c r="AP40" s="981" t="str">
        <f>IF(예산실적비교표!AL40&lt;&gt;"",예산실적비교표!AL40,"")</f>
        <v/>
      </c>
      <c r="AQ40" s="982" t="str">
        <f>IF(예산실적비교표!AM40&lt;&gt;"",예산실적비교표!AM40,"")</f>
        <v/>
      </c>
      <c r="AR40" s="983">
        <f>IF(AND(예산실적비교표!AN40&lt;&gt;"",예산실적비교표!AN40&gt;1),예산실적비교표!AN40,0)</f>
        <v>0</v>
      </c>
      <c r="AS40" s="984">
        <f>IF(예산실적비교표!AO40&lt;&gt;"",예산실적비교표!AO40,0)</f>
        <v>0</v>
      </c>
      <c r="AT40" s="971">
        <f t="shared" si="2"/>
        <v>0</v>
      </c>
      <c r="AU40" s="985">
        <f>IF(예산실적비교표!AQ40&lt;&gt;"",예산실적비교표!AQ40,0)</f>
        <v>0</v>
      </c>
      <c r="AV40" s="973">
        <f t="shared" si="5"/>
        <v>0</v>
      </c>
      <c r="AW40" s="974">
        <f>IF(AR40="","",ROUND((AT40*$AT$7)*데이터입력!$AE$14+(AT40*$AU$7)*데이터입력!$AE$14+(AT40*$AU$7*$AV$7)*데이터입력!$AE$14+(AT40*$AW$7)*데이터입력!$AE$14+(AT40*$AX$7)*데이터입력!$AE$14,-1))</f>
        <v>0</v>
      </c>
      <c r="AX40" s="975">
        <f t="shared" si="6"/>
        <v>0</v>
      </c>
      <c r="AY40" s="976">
        <f>IFERROR(IF($AE$2=TRUE,IF(AR40+AS40=0,0,AR40+AS40),ROUND(IF(데이터입력!$AE$14=100%,ROUND(AR40*$AR$1,-3),ROUND(AR40*$AR$1,-3)-ROUND(((AR40*$AR$1)*$AT$4)*(데이터입력!$AE$14-100%)+((AR40*$AR$1)*$AU$4)*(데이터입력!$AE$14-100%)+((AR40*$AR$1)*$AU$4*$AV$4)*(데이터입력!$AE$14-100%)+((AR40*$AR$1)*$AW$4)*(데이터입력!$AE$14-100%),-1)),0)),0)</f>
        <v>0</v>
      </c>
      <c r="AZ40" s="977">
        <f>IFERROR(IF(AR40+AS40=0,0,IF(데이터입력!$AE$12=100%,(AT40),(AT40)+ROUND(AT40*(데이터입력!$AE$12-100%),-1))),0)</f>
        <v>0</v>
      </c>
      <c r="BA40" s="1095" t="str">
        <f>IFERROR(IF(AZ40=0,"",IF(AND(예산실적비교표!AP40&gt;0,예산실적비교표!AW40=0),"",ROUND(AZ40/12,0))),0)</f>
        <v/>
      </c>
      <c r="BB40" s="1096" t="str">
        <f>IF(BA40="","",IF(데이터입력!$O$71="",ROUND(AZ40/12,0),ROUND(데이터입력!$O$71/데이터입력!$Y$8/$BC$11,0)))</f>
        <v/>
      </c>
      <c r="BC40" s="1112" t="s">
        <v>225</v>
      </c>
      <c r="BD40" s="1112" t="s">
        <v>738</v>
      </c>
      <c r="BE40" s="1171">
        <f>AI22</f>
        <v>0.50600000000000001</v>
      </c>
    </row>
    <row r="41" spans="1:70" ht="17.25" thickBot="1">
      <c r="A41" s="1429" t="s">
        <v>86</v>
      </c>
      <c r="B41" s="1430"/>
      <c r="C41" s="1430"/>
      <c r="D41" s="1430"/>
      <c r="E41" s="1430"/>
      <c r="F41" s="1431"/>
      <c r="G41" s="374">
        <f>SUM(G3:G40)</f>
        <v>1760402906</v>
      </c>
      <c r="H41" s="374">
        <f>SUM(H3:H40)</f>
        <v>1776688639</v>
      </c>
      <c r="I41" s="374">
        <f>SUM(I3:I40)</f>
        <v>59290000</v>
      </c>
      <c r="J41" s="374">
        <f>SUM(J3:J40)</f>
        <v>0</v>
      </c>
      <c r="K41" s="374"/>
      <c r="L41" s="374">
        <f>SUM(L3:L40)</f>
        <v>1703992879</v>
      </c>
      <c r="O41" s="463"/>
      <c r="P41" s="364">
        <f>IFERROR(IF($AE$2="추경",IF(VLOOKUP(R41,$B$1:$L$28,11,FALSE)&gt;=VLOOKUP(R41,$B$1:$L$28,6,FALSE),ROUNDUP(VLOOKUP(R41,$B$1:$L$28,11,FALSE)/U41,-3)*U41,VLOOKUP(R41,$B$1:$L$28,6,FALSE)),IF(VLOOKUP(R41,$B$1:$L$28,11,FALSE)&gt;0,VLOOKUP(R41,$B$1:$L$28,11,FALSE),VLOOKUP(R41,예산평균!$B:$D,3,FALSE))),0)</f>
        <v>0</v>
      </c>
      <c r="Q41" s="487">
        <v>0</v>
      </c>
      <c r="R41" s="357" t="s">
        <v>16</v>
      </c>
      <c r="S41" s="302" t="s">
        <v>6</v>
      </c>
      <c r="T41" s="358">
        <f t="shared" si="9"/>
        <v>0</v>
      </c>
      <c r="U41" s="365">
        <f t="shared" si="10"/>
        <v>12</v>
      </c>
      <c r="V41" s="372" t="s">
        <v>141</v>
      </c>
      <c r="X41" s="556" t="str">
        <f>IF(예산실적비교표!A31="X","",예산실적비교표!A31)</f>
        <v/>
      </c>
      <c r="Y41" s="750">
        <f>IF($AB$2="",0,IF(X41="",0,예산실적비교표!B31))</f>
        <v>0</v>
      </c>
      <c r="Z41" s="556" t="str">
        <f>IF(예산실적비교표!C31="X","",예산실적비교표!C31)</f>
        <v/>
      </c>
      <c r="AA41" s="750">
        <f>IF($AB$2="",0,IF(Z41="",0,예산실적비교표!D31))</f>
        <v>0</v>
      </c>
      <c r="AB41" s="556" t="str">
        <f>IF(예산실적비교표!E31="X","",예산실적비교표!E31)</f>
        <v/>
      </c>
      <c r="AC41" s="750">
        <f>IF($AB$2="",0,IF(AB41="",0,예산실적비교표!F31))</f>
        <v>0</v>
      </c>
      <c r="AD41" s="556" t="str">
        <f>IF(예산실적비교표!G31="X","",예산실적비교표!G31)</f>
        <v/>
      </c>
      <c r="AE41" s="750">
        <f>IF($AB$2="",0,IF(AD41="",0,예산실적비교표!H31))</f>
        <v>0</v>
      </c>
      <c r="AF41" s="537">
        <f>IF($AF$35&lt;&gt;예산실적비교표!$B$3,$Y$8,예산실적비교표!I31)</f>
        <v>12</v>
      </c>
      <c r="AH41" s="279" t="str">
        <f>세출예산서!L80</f>
        <v xml:space="preserve">  - </v>
      </c>
      <c r="AI41" s="1346">
        <f>세출예산서!V80</f>
        <v>0</v>
      </c>
      <c r="AJ41" s="1347"/>
      <c r="AP41" s="981" t="str">
        <f>IF(예산실적비교표!AL41&lt;&gt;"",예산실적비교표!AL41,"")</f>
        <v/>
      </c>
      <c r="AQ41" s="982" t="str">
        <f>IF(예산실적비교표!AM41&lt;&gt;"",예산실적비교표!AM41,"")</f>
        <v/>
      </c>
      <c r="AR41" s="983">
        <f>IF(AND(예산실적비교표!AN41&lt;&gt;"",예산실적비교표!AN41&gt;1),예산실적비교표!AN41,0)</f>
        <v>0</v>
      </c>
      <c r="AS41" s="984">
        <f>IF(예산실적비교표!AO41&lt;&gt;"",예산실적비교표!AO41,0)</f>
        <v>0</v>
      </c>
      <c r="AT41" s="971">
        <f t="shared" si="2"/>
        <v>0</v>
      </c>
      <c r="AU41" s="985">
        <f>IF(예산실적비교표!AQ41&lt;&gt;"",예산실적비교표!AQ41,0)</f>
        <v>0</v>
      </c>
      <c r="AV41" s="973">
        <f t="shared" si="5"/>
        <v>0</v>
      </c>
      <c r="AW41" s="974">
        <f>IF(AR41="","",ROUND((AT41*$AT$7)*데이터입력!$AE$14+(AT41*$AU$7)*데이터입력!$AE$14+(AT41*$AU$7*$AV$7)*데이터입력!$AE$14+(AT41*$AW$7)*데이터입력!$AE$14+(AT41*$AX$7)*데이터입력!$AE$14,-1))</f>
        <v>0</v>
      </c>
      <c r="AX41" s="975">
        <f t="shared" si="6"/>
        <v>0</v>
      </c>
      <c r="AY41" s="976">
        <f>IFERROR(IF($AE$2=TRUE,IF(AR41+AS41=0,0,AR41+AS41),ROUND(IF(데이터입력!$AE$14=100%,ROUND(AR41*$AR$1,-3),ROUND(AR41*$AR$1,-3)-ROUND(((AR41*$AR$1)*$AT$4)*(데이터입력!$AE$14-100%)+((AR41*$AR$1)*$AU$4)*(데이터입력!$AE$14-100%)+((AR41*$AR$1)*$AU$4*$AV$4)*(데이터입력!$AE$14-100%)+((AR41*$AR$1)*$AW$4)*(데이터입력!$AE$14-100%),-1)),0)),0)</f>
        <v>0</v>
      </c>
      <c r="AZ41" s="977">
        <f>IFERROR(IF(AR41+AS41=0,0,IF(데이터입력!$AE$12=100%,(AT41),(AT41)+ROUND(AT41*(데이터입력!$AE$12-100%),-1))),0)</f>
        <v>0</v>
      </c>
      <c r="BA41" s="1095" t="str">
        <f>IFERROR(IF(AZ41=0,"",IF(AND(예산실적비교표!AP41&gt;0,예산실적비교표!AW41=0),"",ROUND(AZ41/12,0))),0)</f>
        <v/>
      </c>
      <c r="BB41" s="1096" t="str">
        <f>IF(BA41="","",IF(데이터입력!$O$71="",ROUND(AZ41/12,0),ROUND(데이터입력!$O$71/데이터입력!$Y$8/$BC$11,0)))</f>
        <v/>
      </c>
      <c r="BC41" s="1106" t="s">
        <v>227</v>
      </c>
      <c r="BD41" s="1109" t="s">
        <v>736</v>
      </c>
      <c r="BE41" s="1168">
        <f>AI23</f>
        <v>0.61099999999999999</v>
      </c>
    </row>
    <row r="42" spans="1:70" ht="17.25" thickBot="1">
      <c r="A42" s="901" t="str">
        <f>IF($AM$1=TRUE,IF(K42="","",SUBTOTAL(2,$K$3:K42)),IF(AND(M42="",N42=""),"",IF(N42="",COUNT($M$3:M42),COUNT($N$3:N42)+200)))</f>
        <v/>
      </c>
      <c r="B42" s="303" t="s">
        <v>40</v>
      </c>
      <c r="C42" s="303" t="s">
        <v>528</v>
      </c>
      <c r="D42" s="302">
        <v>501010101</v>
      </c>
      <c r="E42" s="302" t="s">
        <v>83</v>
      </c>
      <c r="F42" s="302" t="s">
        <v>80</v>
      </c>
      <c r="G42" s="304">
        <f>IFERROR(IF($E42="06",VLOOKUP($B42,예산실적비교표!$O$7:$R$200,2,FALSE),0),0)</f>
        <v>747532000</v>
      </c>
      <c r="H42" s="304">
        <f>IFERROR(IF($E42="06",VLOOKUP($C42,세출예산서!$K$3:$X$307,12,FALSE),0),0)</f>
        <v>0</v>
      </c>
      <c r="I42" s="304">
        <f>IFERROR(IF($E42="07",VLOOKUP($C42,세출예산서!$K$3:$X$307,13,FALSE),0),0)</f>
        <v>0</v>
      </c>
      <c r="J42" s="304">
        <f>IFERROR(IF($E42="05",VLOOKUP($C42,세출예산서!$K$3:$X$307,14,FALSE),0),0)</f>
        <v>0</v>
      </c>
      <c r="K42" s="304" t="str">
        <f>IF($AE$2="",IF(SUM(H42:J42)=0,"",SUM(H42:J42)-G42),IF(AND(G42=0,SUM(H42:J42)=0),"",SUM(H42:J42)-G42))</f>
        <v/>
      </c>
      <c r="L42" s="305">
        <f>IFERROR(IF($AB$2="",0,ROUNDUP(VLOOKUP($B42,예산실적비교표!$O$7:$R$200,3,FALSE)/($Y$8-(12-$Y$9)),-2)*$Y$8),0)</f>
        <v>747532800</v>
      </c>
      <c r="M42" s="597" t="str">
        <f>IF($AM$1=TRUE,IF(K42="","",IF(IF($AE$2="",IF(K42="","",SUBTOTAL(2,$K$3:K42)),IF(AND(G42&gt;=0,K42=""),"",IF(AND(G42&gt;0,OR(K42&gt;0,K42&lt;0)),SUBTOTAL(2,$K$3:K42),IF(AND(G42=0,OR(K42&gt;0,K42&lt;0)),SUBTOTAL(2,$K$3:K42)+200,""))))&gt;200,"",1)),IF(K42="","",IF(IF($AE$2="",IF(K42="","",SUBTOTAL(2,$K$3:K42)),IF(AND(G42&gt;=0,K42=""),"",IF(AND(G42&gt;0,OR(K42&gt;0,K42&lt;0)),SUBTOTAL(2,$K$3:K42),IF(AND(G42=0,OR(K42&gt;0,K42&lt;0)),SUBTOTAL(2,$K$3:K42)+200,""))))&gt;200,"",1)))</f>
        <v/>
      </c>
      <c r="N42" s="161" t="str">
        <f>IF($AM$1=TRUE,IF(K42="","",IF(IF($AE$2="",IF(K42="","",SUBTOTAL(2,$K$3:K42)),IF(AND(G42&gt;=0,K42=""),"",IF(AND(G42&gt;0,OR(K42&gt;0,K42&lt;0)),SUBTOTAL(2,$K$3:K42),IF(AND(G42=0,OR(K42&gt;0,K42&lt;0)),SUBTOTAL(2,$K$3:K42)+200,""))))&lt;=200,"",2)),IF(K42="","",IF(IF($AE$2="",IF(K42="","",SUBTOTAL(2,$K$3:K42)),IF(AND(G42&gt;=0,K42=""),"",IF(AND(G42&gt;0,OR(K42&gt;0,K42&lt;0)),SUBTOTAL(2,$K$3:K42),IF(AND(G42=0,OR(K42&gt;0,K42&lt;0)),SUBTOTAL(2,$K$3:K42)+200,""))))&lt;=200,"",2)))</f>
        <v/>
      </c>
      <c r="O42" s="463"/>
      <c r="P42" s="364">
        <f>IFERROR(IF($AE$2="추경",IF(VLOOKUP(R42,$B$1:$L$28,11,FALSE)&gt;=VLOOKUP(R42,$B$1:$L$28,6,FALSE),ROUNDUP(VLOOKUP(R42,$B$1:$L$28,11,FALSE)/U42,-3)*U42,VLOOKUP(R42,$B$1:$L$28,6,FALSE)),IF(VLOOKUP(R42,$B$1:$L$28,11,FALSE)&gt;0,VLOOKUP(R42,$B$1:$L$28,11,FALSE),VLOOKUP(R42,예산평균!$B:$D,3,FALSE))),0)</f>
        <v>0</v>
      </c>
      <c r="Q42" s="487">
        <v>0</v>
      </c>
      <c r="R42" s="357" t="s">
        <v>17</v>
      </c>
      <c r="S42" s="302" t="s">
        <v>6</v>
      </c>
      <c r="T42" s="358">
        <f t="shared" si="9"/>
        <v>0</v>
      </c>
      <c r="U42" s="365">
        <f t="shared" si="10"/>
        <v>12</v>
      </c>
      <c r="V42" s="372" t="s">
        <v>141</v>
      </c>
      <c r="X42" s="345" t="s">
        <v>216</v>
      </c>
      <c r="Y42" s="748">
        <f>ROUND((세출예산서!Z114)/$Y$8,-3)</f>
        <v>5500000</v>
      </c>
      <c r="Z42" s="1480" t="s">
        <v>215</v>
      </c>
      <c r="AA42" s="1481"/>
      <c r="AB42" s="562">
        <v>0.65</v>
      </c>
      <c r="AC42" s="543">
        <f>ROUND(세출예산서!Z124/$Y$8,-3)</f>
        <v>7500000</v>
      </c>
      <c r="AD42" s="345" t="s">
        <v>183</v>
      </c>
      <c r="AE42" s="536">
        <f>ROUND(세출예산서!$Z$141/$U$80,-3)</f>
        <v>600000</v>
      </c>
      <c r="AF42" s="366" t="s">
        <v>214</v>
      </c>
      <c r="AH42" s="295" t="str">
        <f>세출예산서!L81</f>
        <v xml:space="preserve">  - </v>
      </c>
      <c r="AI42" s="1359">
        <f>세출예산서!V81</f>
        <v>0</v>
      </c>
      <c r="AJ42" s="1360"/>
      <c r="AP42" s="981" t="str">
        <f>IF(예산실적비교표!AL42&lt;&gt;"",예산실적비교표!AL42,"")</f>
        <v/>
      </c>
      <c r="AQ42" s="982" t="str">
        <f>IF(예산실적비교표!AM42&lt;&gt;"",예산실적비교표!AM42,"")</f>
        <v/>
      </c>
      <c r="AR42" s="983">
        <f>IF(AND(예산실적비교표!AN42&lt;&gt;"",예산실적비교표!AN42&gt;1),예산실적비교표!AN42,0)</f>
        <v>0</v>
      </c>
      <c r="AS42" s="984">
        <f>IF(예산실적비교표!AO42&lt;&gt;"",예산실적비교표!AO42,0)</f>
        <v>0</v>
      </c>
      <c r="AT42" s="971">
        <f t="shared" si="2"/>
        <v>0</v>
      </c>
      <c r="AU42" s="985">
        <f>IF(예산실적비교표!AQ42&lt;&gt;"",예산실적비교표!AQ42,0)</f>
        <v>0</v>
      </c>
      <c r="AV42" s="973">
        <f t="shared" si="5"/>
        <v>0</v>
      </c>
      <c r="AW42" s="974">
        <f>IF(AR42="","",ROUND((AT42*$AT$7)*데이터입력!$AE$14+(AT42*$AU$7)*데이터입력!$AE$14+(AT42*$AU$7*$AV$7)*데이터입력!$AE$14+(AT42*$AW$7)*데이터입력!$AE$14+(AT42*$AX$7)*데이터입력!$AE$14,-1))</f>
        <v>0</v>
      </c>
      <c r="AX42" s="975">
        <f t="shared" si="6"/>
        <v>0</v>
      </c>
      <c r="AY42" s="976">
        <f>IFERROR(IF($AE$2=TRUE,IF(AR42+AS42=0,0,AR42+AS42),ROUND(IF(데이터입력!$AE$14=100%,ROUND(AR42*$AR$1,-3),ROUND(AR42*$AR$1,-3)-ROUND(((AR42*$AR$1)*$AT$4)*(데이터입력!$AE$14-100%)+((AR42*$AR$1)*$AU$4)*(데이터입력!$AE$14-100%)+((AR42*$AR$1)*$AU$4*$AV$4)*(데이터입력!$AE$14-100%)+((AR42*$AR$1)*$AW$4)*(데이터입력!$AE$14-100%),-1)),0)),0)</f>
        <v>0</v>
      </c>
      <c r="AZ42" s="977">
        <f>IFERROR(IF(AR42+AS42=0,0,IF(데이터입력!$AE$12=100%,(AT42),(AT42)+ROUND(AT42*(데이터입력!$AE$12-100%),-1))),0)</f>
        <v>0</v>
      </c>
      <c r="BA42" s="1095" t="str">
        <f>IFERROR(IF(AZ42=0,"",IF(AND(예산실적비교표!AP42&gt;0,예산실적비교표!AW42=0),"",ROUND(AZ42/12,0))),0)</f>
        <v/>
      </c>
      <c r="BB42" s="1096" t="str">
        <f>IF(BA42="","",IF(데이터입력!$O$71="",ROUND(AZ42/12,0),ROUND(데이터입력!$O$71/데이터입력!$Y$8/$BC$11,0)))</f>
        <v/>
      </c>
      <c r="BC42" s="1172"/>
      <c r="BD42" s="1173" t="s">
        <v>733</v>
      </c>
      <c r="BE42" s="1174"/>
    </row>
    <row r="43" spans="1:70" ht="17.25" thickBot="1">
      <c r="A43" s="901" t="str">
        <f>IF($AM$1=TRUE,IF(K43="","",SUBTOTAL(2,$K$3:K43)),IF(AND(M43="",N43=""),"",IF(N43="",COUNT($M$3:M43),COUNT($N$3:N43)+200)))</f>
        <v/>
      </c>
      <c r="B43" s="303" t="s">
        <v>41</v>
      </c>
      <c r="C43" s="303" t="s">
        <v>529</v>
      </c>
      <c r="D43" s="302">
        <v>501010102</v>
      </c>
      <c r="E43" s="302" t="s">
        <v>83</v>
      </c>
      <c r="F43" s="302" t="s">
        <v>80</v>
      </c>
      <c r="G43" s="304">
        <f>IFERROR(IF($E43="06",VLOOKUP($B43,예산실적비교표!$O$7:$R$200,2,FALSE),0),0)</f>
        <v>82800000</v>
      </c>
      <c r="H43" s="304">
        <f>IFERROR(IF($E43="06",VLOOKUP($C43,세출예산서!$K$3:$X$307,12,FALSE),0),0)</f>
        <v>0</v>
      </c>
      <c r="I43" s="304">
        <f>IFERROR(IF($E43="07",VLOOKUP($C43,세출예산서!$K$3:$X$307,13,FALSE),0),0)</f>
        <v>0</v>
      </c>
      <c r="J43" s="304">
        <f>IFERROR(IF($E43="05",VLOOKUP($C43,세출예산서!$K$3:$X$307,14,FALSE),0),0)</f>
        <v>0</v>
      </c>
      <c r="K43" s="304" t="str">
        <f t="shared" ref="K43:K106" si="11">IF($AE$2="",IF(SUM(H43:J43)=0,"",SUM(H43:J43)-G43),IF(AND(G43=0,SUM(H43:J43)=0),"",SUM(H43:J43)-G43))</f>
        <v/>
      </c>
      <c r="L43" s="305">
        <f>IFERROR(IF($AB$2="",0,ROUNDUP(VLOOKUP($B43,예산실적비교표!$O$7:$R$200,3,FALSE)/($Y$8-(12-$Y$9)),-2)*$Y$8),0)</f>
        <v>82800000</v>
      </c>
      <c r="M43" s="597" t="str">
        <f>IF($AM$1=TRUE,IF(K43="","",IF(IF($AE$2="",IF(K43="","",SUBTOTAL(2,$K$3:K43)),IF(AND(G43&gt;=0,K43=""),"",IF(AND(G43&gt;0,OR(K43&gt;0,K43&lt;0)),SUBTOTAL(2,$K$3:K43),IF(AND(G43=0,OR(K43&gt;0,K43&lt;0)),SUBTOTAL(2,$K$3:K43)+200,""))))&gt;200,"",1)),IF(K43="","",IF(IF($AE$2="",IF(K43="","",SUBTOTAL(2,$K$3:K43)),IF(AND(G43&gt;=0,K43=""),"",IF(AND(G43&gt;0,OR(K43&gt;0,K43&lt;0)),SUBTOTAL(2,$K$3:K43),IF(AND(G43=0,OR(K43&gt;0,K43&lt;0)),SUBTOTAL(2,$K$3:K43)+200,""))))&gt;200,"",1)))</f>
        <v/>
      </c>
      <c r="N43" s="161" t="str">
        <f>IF($AM$1=TRUE,IF(K43="","",IF(IF($AE$2="",IF(K43="","",SUBTOTAL(2,$K$3:K43)),IF(AND(G43&gt;=0,K43=""),"",IF(AND(G43&gt;0,OR(K43&gt;0,K43&lt;0)),SUBTOTAL(2,$K$3:K43),IF(AND(G43=0,OR(K43&gt;0,K43&lt;0)),SUBTOTAL(2,$K$3:K43)+200,""))))&lt;=200,"",2)),IF(K43="","",IF(IF($AE$2="",IF(K43="","",SUBTOTAL(2,$K$3:K43)),IF(AND(G43&gt;=0,K43=""),"",IF(AND(G43&gt;0,OR(K43&gt;0,K43&lt;0)),SUBTOTAL(2,$K$3:K43),IF(AND(G43=0,OR(K43&gt;0,K43&lt;0)),SUBTOTAL(2,$K$3:K43)+200,""))))&lt;=200,"",2)))</f>
        <v/>
      </c>
      <c r="O43" s="463"/>
      <c r="P43" s="364">
        <f>IFERROR(IF($AE$2="추경",ROUNDUP(VLOOKUP(R43,$B$1:$L$28,6,FALSE)/U43,-3),IF(VLOOKUP(R43,$B$1:$L$28,11,FALSE)&gt;0,ROUNDUP(VLOOKUP(R43,$B$1:$L$28,11,FALSE)/$Y$8,-3),ROUND((H13*12%)/$Y$8,-4))),0)</f>
        <v>0</v>
      </c>
      <c r="Q43" s="487">
        <v>0</v>
      </c>
      <c r="R43" s="357" t="s">
        <v>22</v>
      </c>
      <c r="S43" s="302" t="s">
        <v>6</v>
      </c>
      <c r="T43" s="358">
        <f t="shared" si="9"/>
        <v>0</v>
      </c>
      <c r="U43" s="365">
        <f t="shared" si="10"/>
        <v>12</v>
      </c>
      <c r="V43" s="373" t="s">
        <v>139</v>
      </c>
      <c r="X43" s="911" t="str">
        <f>IF(예산실적비교표!A33="X","",예산실적비교표!A33)</f>
        <v>각종수수료</v>
      </c>
      <c r="Y43" s="749">
        <f>Y42-SUM(Y44:Y49)</f>
        <v>3300000</v>
      </c>
      <c r="Z43" s="745" t="s">
        <v>178</v>
      </c>
      <c r="AA43" s="753">
        <f>ROUND(AC42*AB42,-3)</f>
        <v>4875000</v>
      </c>
      <c r="AB43" s="746" t="s">
        <v>182</v>
      </c>
      <c r="AC43" s="753">
        <f>AC42-AA43</f>
        <v>2625000</v>
      </c>
      <c r="AD43" s="911" t="str">
        <f>IF(예산실적비교표!G33="X","",예산실적비교표!G33)</f>
        <v>주유비</v>
      </c>
      <c r="AE43" s="756">
        <f>AE42-SUM(AE44:AE49)</f>
        <v>465000</v>
      </c>
      <c r="AF43" s="537">
        <f>IF($Y$8&lt;&gt;예산실적비교표!$B$3,$U$80,예산실적비교표!I33)</f>
        <v>12</v>
      </c>
      <c r="AH43" s="548" t="str">
        <f>X50</f>
        <v>기타운영비</v>
      </c>
      <c r="AI43" s="1342">
        <f>세출예산서!$Z$156</f>
        <v>24378000</v>
      </c>
      <c r="AJ43" s="1343"/>
      <c r="AP43" s="981" t="str">
        <f>IF(예산실적비교표!AL43&lt;&gt;"",예산실적비교표!AL43,"")</f>
        <v/>
      </c>
      <c r="AQ43" s="982" t="str">
        <f>IF(예산실적비교표!AM43&lt;&gt;"",예산실적비교표!AM43,"")</f>
        <v/>
      </c>
      <c r="AR43" s="983">
        <f>IF(AND(예산실적비교표!AN43&lt;&gt;"",예산실적비교표!AN43&gt;1),예산실적비교표!AN43,0)</f>
        <v>0</v>
      </c>
      <c r="AS43" s="984">
        <f>IF(예산실적비교표!AO43&lt;&gt;"",예산실적비교표!AO43,0)</f>
        <v>0</v>
      </c>
      <c r="AT43" s="971">
        <f t="shared" si="2"/>
        <v>0</v>
      </c>
      <c r="AU43" s="985">
        <f>IF(예산실적비교표!AQ43&lt;&gt;"",예산실적비교표!AQ43,0)</f>
        <v>0</v>
      </c>
      <c r="AV43" s="973">
        <f t="shared" si="5"/>
        <v>0</v>
      </c>
      <c r="AW43" s="974">
        <f>IF(AR43="","",ROUND((AT43*$AT$7)*데이터입력!$AE$14+(AT43*$AU$7)*데이터입력!$AE$14+(AT43*$AU$7*$AV$7)*데이터입력!$AE$14+(AT43*$AW$7)*데이터입력!$AE$14+(AT43*$AX$7)*데이터입력!$AE$14,-1))</f>
        <v>0</v>
      </c>
      <c r="AX43" s="975">
        <f t="shared" si="6"/>
        <v>0</v>
      </c>
      <c r="AY43" s="976">
        <f>IFERROR(IF($AE$2=TRUE,IF(AR43+AS43=0,0,AR43+AS43),ROUND(IF(데이터입력!$AE$14=100%,ROUND(AR43*$AR$1,-3),ROUND(AR43*$AR$1,-3)-ROUND(((AR43*$AR$1)*$AT$4)*(데이터입력!$AE$14-100%)+((AR43*$AR$1)*$AU$4)*(데이터입력!$AE$14-100%)+((AR43*$AR$1)*$AU$4*$AV$4)*(데이터입력!$AE$14-100%)+((AR43*$AR$1)*$AW$4)*(데이터입력!$AE$14-100%),-1)),0)),0)</f>
        <v>0</v>
      </c>
      <c r="AZ43" s="977">
        <f>IFERROR(IF(AR43+AS43=0,0,IF(데이터입력!$AE$12=100%,(AT43),(AT43)+ROUND(AT43*(데이터입력!$AE$12-100%),-1))),0)</f>
        <v>0</v>
      </c>
      <c r="BA43" s="1095" t="str">
        <f>IFERROR(IF(AZ43=0,"",IF(AND(예산실적비교표!AP43&gt;0,예산실적비교표!AW43=0),"",ROUND(AZ43/12,0))),0)</f>
        <v/>
      </c>
      <c r="BB43" s="1096" t="str">
        <f>IF(BA43="","",IF(데이터입력!$O$71="",ROUND(AZ43/12,0),ROUND(데이터입력!$O$71/데이터입력!$Y$8/$BC$11,0)))</f>
        <v/>
      </c>
      <c r="BC43" s="1561" t="s">
        <v>762</v>
      </c>
      <c r="BD43" s="1562"/>
      <c r="BE43" s="1562"/>
      <c r="BF43" s="1562"/>
      <c r="BG43" s="1562"/>
      <c r="BH43" s="1561" t="s">
        <v>811</v>
      </c>
      <c r="BI43" s="1562"/>
      <c r="BJ43" s="1562"/>
      <c r="BK43" s="1562"/>
      <c r="BL43" s="1562"/>
      <c r="BM43" s="1562"/>
      <c r="BN43" s="1562"/>
      <c r="BO43" s="1562"/>
      <c r="BP43" s="1562"/>
      <c r="BQ43" s="1562"/>
      <c r="BR43" s="1589"/>
    </row>
    <row r="44" spans="1:70" ht="17.25" thickBot="1">
      <c r="A44" s="901" t="str">
        <f>IF($AM$1=TRUE,IF(K44="","",SUBTOTAL(2,$K$3:K44)),IF(AND(M44="",N44=""),"",IF(N44="",COUNT($M$3:M44),COUNT($N$3:N44)+200)))</f>
        <v/>
      </c>
      <c r="B44" s="303" t="s">
        <v>42</v>
      </c>
      <c r="C44" s="303" t="s">
        <v>530</v>
      </c>
      <c r="D44" s="302">
        <v>501010201</v>
      </c>
      <c r="E44" s="302" t="s">
        <v>83</v>
      </c>
      <c r="F44" s="302" t="s">
        <v>80</v>
      </c>
      <c r="G44" s="304">
        <f>IFERROR(IF($E44="06",VLOOKUP($B44,예산실적비교표!$O$7:$R$200,2,FALSE),0),0)</f>
        <v>0</v>
      </c>
      <c r="H44" s="304">
        <f>IFERROR(IF($E44="06",VLOOKUP($C44,세출예산서!$K$3:$X$307,12,FALSE),0),0)</f>
        <v>0</v>
      </c>
      <c r="I44" s="304">
        <f>IFERROR(IF($E44="07",VLOOKUP($C44,세출예산서!$K$3:$X$307,13,FALSE),0),0)</f>
        <v>0</v>
      </c>
      <c r="J44" s="304">
        <f>IFERROR(IF($E44="05",VLOOKUP($C44,세출예산서!$K$3:$X$307,14,FALSE),0),0)</f>
        <v>0</v>
      </c>
      <c r="K44" s="304" t="str">
        <f t="shared" si="11"/>
        <v/>
      </c>
      <c r="L44" s="305">
        <f>IFERROR(IF($AB$2="",0,ROUNDUP(VLOOKUP($B44,예산실적비교표!$O$7:$R$200,3,FALSE)/($Y$8-(12-$Y$9)),-2)*$Y$8),0)</f>
        <v>0</v>
      </c>
      <c r="M44" s="597" t="str">
        <f>IF($AM$1=TRUE,IF(K44="","",IF(IF($AE$2="",IF(K44="","",SUBTOTAL(2,$K$3:K44)),IF(AND(G44&gt;=0,K44=""),"",IF(AND(G44&gt;0,OR(K44&gt;0,K44&lt;0)),SUBTOTAL(2,$K$3:K44),IF(AND(G44=0,OR(K44&gt;0,K44&lt;0)),SUBTOTAL(2,$K$3:K44)+200,""))))&gt;200,"",1)),IF(K44="","",IF(IF($AE$2="",IF(K44="","",SUBTOTAL(2,$K$3:K44)),IF(AND(G44&gt;=0,K44=""),"",IF(AND(G44&gt;0,OR(K44&gt;0,K44&lt;0)),SUBTOTAL(2,$K$3:K44),IF(AND(G44=0,OR(K44&gt;0,K44&lt;0)),SUBTOTAL(2,$K$3:K44)+200,""))))&gt;200,"",1)))</f>
        <v/>
      </c>
      <c r="N44" s="161" t="str">
        <f>IF($AM$1=TRUE,IF(K44="","",IF(IF($AE$2="",IF(K44="","",SUBTOTAL(2,$K$3:K44)),IF(AND(G44&gt;=0,K44=""),"",IF(AND(G44&gt;0,OR(K44&gt;0,K44&lt;0)),SUBTOTAL(2,$K$3:K44),IF(AND(G44=0,OR(K44&gt;0,K44&lt;0)),SUBTOTAL(2,$K$3:K44)+200,""))))&lt;=200,"",2)),IF(K44="","",IF(IF($AE$2="",IF(K44="","",SUBTOTAL(2,$K$3:K44)),IF(AND(G44&gt;=0,K44=""),"",IF(AND(G44&gt;0,OR(K44&gt;0,K44&lt;0)),SUBTOTAL(2,$K$3:K44),IF(AND(G44=0,OR(K44&gt;0,K44&lt;0)),SUBTOTAL(2,$K$3:K44)+200,""))))&lt;=200,"",2)))</f>
        <v/>
      </c>
      <c r="O44" s="463"/>
      <c r="P44" s="364">
        <f>IFERROR(IF($AE$2="추경",IF(VLOOKUP(R44,$B$1:$L$28,6,FALSE)&lt;=VLOOKUP(R44,$B$1:$L$28,11,FALSE),ROUNDUP(VLOOKUP(R44,$B$1:$L$28,11,FALSE)/U44,-3),ROUNDUP(VLOOKUP(R44,$B$1:$L$28,6,FALSE)/U44,-3)),IF(VLOOKUP(R44,$B$1:$L$28,11,FALSE)&gt;0,ROUNDUP(VLOOKUP(R44,$B$1:$L$28,11,FALSE)*110%/$Y$8,-3),ROUND((H14*10%)/$Y$8,-4))),0)</f>
        <v>6600000</v>
      </c>
      <c r="Q44" s="487">
        <v>0</v>
      </c>
      <c r="R44" s="357" t="s">
        <v>138</v>
      </c>
      <c r="S44" s="302" t="s">
        <v>6</v>
      </c>
      <c r="T44" s="358">
        <f>IF(O44="",P44,O44)</f>
        <v>6600000</v>
      </c>
      <c r="U44" s="365">
        <f t="shared" si="10"/>
        <v>12</v>
      </c>
      <c r="V44" s="375" t="s">
        <v>139</v>
      </c>
      <c r="X44" s="556" t="str">
        <f>IF(예산실적비교표!A34="X","",예산실적비교표!A34)</f>
        <v>렌탈료</v>
      </c>
      <c r="Y44" s="750">
        <f>IF($AB$2="",0,IF(X44="",0,IF(예산실적비교표!B34=0,ROUND($Y$42*15%,-3),예산실적비교표!B34)))</f>
        <v>600000</v>
      </c>
      <c r="Z44" s="911" t="str">
        <f>IF(예산실적비교표!C34="X","",예산실적비교표!C34)</f>
        <v>공공요금</v>
      </c>
      <c r="AA44" s="754">
        <f>AA43-SUM(AA45:AA49)</f>
        <v>1575000</v>
      </c>
      <c r="AB44" s="911" t="str">
        <f>IF(예산실적비교표!E34="X","",예산실적비교표!E34)</f>
        <v>각종세금 등</v>
      </c>
      <c r="AC44" s="755">
        <f>AC43-SUM(AC45:AC49)</f>
        <v>625000</v>
      </c>
      <c r="AD44" s="556" t="str">
        <f>IF(예산실적비교표!G34="X","",예산실적비교표!G34)</f>
        <v>수리비</v>
      </c>
      <c r="AE44" s="750">
        <f>IF($AB$2="",0,IF(AD44="",0,IF(예산실적비교표!H34=0,ROUND(AE42*30%,-3),예산실적비교표!H34)))</f>
        <v>135000</v>
      </c>
      <c r="AF44" s="537">
        <f>IF($AF$43&lt;&gt;예산실적비교표!$B$3,$U$80,예산실적비교표!I34)</f>
        <v>12</v>
      </c>
      <c r="AH44" s="294" t="str">
        <f>세출예산서!L157</f>
        <v xml:space="preserve">  - 기타운영비</v>
      </c>
      <c r="AI44" s="1344">
        <f>세출예산서!V157</f>
        <v>828000</v>
      </c>
      <c r="AJ44" s="1345"/>
      <c r="AP44" s="981" t="str">
        <f>IF(예산실적비교표!AL44&lt;&gt;"",예산실적비교표!AL44,"")</f>
        <v/>
      </c>
      <c r="AQ44" s="982" t="str">
        <f>IF(예산실적비교표!AM44&lt;&gt;"",예산실적비교표!AM44,"")</f>
        <v/>
      </c>
      <c r="AR44" s="983">
        <f>IF(AND(예산실적비교표!AN44&lt;&gt;"",예산실적비교표!AN44&gt;1),예산실적비교표!AN44,0)</f>
        <v>0</v>
      </c>
      <c r="AS44" s="984">
        <f>IF(예산실적비교표!AO44&lt;&gt;"",예산실적비교표!AO44,0)</f>
        <v>0</v>
      </c>
      <c r="AT44" s="971">
        <f t="shared" si="2"/>
        <v>0</v>
      </c>
      <c r="AU44" s="985">
        <f>IF(예산실적비교표!AQ44&lt;&gt;"",예산실적비교표!AQ44,0)</f>
        <v>0</v>
      </c>
      <c r="AV44" s="973">
        <f t="shared" si="5"/>
        <v>0</v>
      </c>
      <c r="AW44" s="974">
        <f>IF(AR44="","",ROUND((AT44*$AT$7)*데이터입력!$AE$14+(AT44*$AU$7)*데이터입력!$AE$14+(AT44*$AU$7*$AV$7)*데이터입력!$AE$14+(AT44*$AW$7)*데이터입력!$AE$14+(AT44*$AX$7)*데이터입력!$AE$14,-1))</f>
        <v>0</v>
      </c>
      <c r="AX44" s="975">
        <f t="shared" si="6"/>
        <v>0</v>
      </c>
      <c r="AY44" s="976">
        <f>IFERROR(IF($AE$2=TRUE,IF(AR44+AS44=0,0,AR44+AS44),ROUND(IF(데이터입력!$AE$14=100%,ROUND(AR44*$AR$1,-3),ROUND(AR44*$AR$1,-3)-ROUND(((AR44*$AR$1)*$AT$4)*(데이터입력!$AE$14-100%)+((AR44*$AR$1)*$AU$4)*(데이터입력!$AE$14-100%)+((AR44*$AR$1)*$AU$4*$AV$4)*(데이터입력!$AE$14-100%)+((AR44*$AR$1)*$AW$4)*(데이터입력!$AE$14-100%),-1)),0)),0)</f>
        <v>0</v>
      </c>
      <c r="AZ44" s="977">
        <f>IFERROR(IF(AR44+AS44=0,0,IF(데이터입력!$AE$12=100%,(AT44),(AT44)+ROUND(AT44*(데이터입력!$AE$12-100%),-1))),0)</f>
        <v>0</v>
      </c>
      <c r="BA44" s="1095" t="str">
        <f>IFERROR(IF(AZ44=0,"",IF(AND(예산실적비교표!AP44&gt;0,예산실적비교표!AW44=0),"",ROUND(AZ44/12,0))),0)</f>
        <v/>
      </c>
      <c r="BB44" s="1096" t="str">
        <f>IF(BA44="","",IF(데이터입력!$O$71="",ROUND(AZ44/12,0),ROUND(데이터입력!$O$71/데이터입력!$Y$8/$BC$11,0)))</f>
        <v/>
      </c>
      <c r="BC44" s="1563"/>
      <c r="BD44" s="1564"/>
      <c r="BE44" s="1564"/>
      <c r="BF44" s="1564"/>
      <c r="BG44" s="1564"/>
      <c r="BH44" s="1590"/>
      <c r="BI44" s="1591"/>
      <c r="BJ44" s="1591"/>
      <c r="BK44" s="1591"/>
      <c r="BL44" s="1591"/>
      <c r="BM44" s="1591"/>
      <c r="BN44" s="1591"/>
      <c r="BO44" s="1591"/>
      <c r="BP44" s="1591"/>
      <c r="BQ44" s="1591"/>
      <c r="BR44" s="1592"/>
    </row>
    <row r="45" spans="1:70" ht="18" customHeight="1" thickBot="1">
      <c r="A45" s="901" t="str">
        <f>IF($AM$1=TRUE,IF(K45="","",SUBTOTAL(2,$K$3:K45)),IF(AND(M45="",N45=""),"",IF(N45="",COUNT($M$3:M45),COUNT($N$3:N45)+200)))</f>
        <v/>
      </c>
      <c r="B45" s="303" t="s">
        <v>43</v>
      </c>
      <c r="C45" s="303" t="s">
        <v>531</v>
      </c>
      <c r="D45" s="302">
        <v>501010202</v>
      </c>
      <c r="E45" s="302" t="s">
        <v>83</v>
      </c>
      <c r="F45" s="302" t="s">
        <v>80</v>
      </c>
      <c r="G45" s="304">
        <f>IFERROR(IF($E45="06",VLOOKUP($B45,예산실적비교표!$O$7:$R$200,2,FALSE),0),0)</f>
        <v>0</v>
      </c>
      <c r="H45" s="304">
        <f>IFERROR(IF($E45="06",VLOOKUP($C45,세출예산서!$K$3:$X$307,12,FALSE),0),0)</f>
        <v>0</v>
      </c>
      <c r="I45" s="304">
        <f>IFERROR(IF($E45="07",VLOOKUP($C45,세출예산서!$K$3:$X$307,13,FALSE),0),0)</f>
        <v>0</v>
      </c>
      <c r="J45" s="304">
        <f>IFERROR(IF($E45="05",VLOOKUP($C45,세출예산서!$K$3:$X$307,14,FALSE),0),0)</f>
        <v>0</v>
      </c>
      <c r="K45" s="304" t="str">
        <f t="shared" si="11"/>
        <v/>
      </c>
      <c r="L45" s="305">
        <f>IFERROR(IF($AB$2="",0,ROUNDUP(VLOOKUP($B45,예산실적비교표!$O$7:$R$200,3,FALSE)/($Y$8-(12-$Y$9)),-2)*$Y$8),0)</f>
        <v>0</v>
      </c>
      <c r="M45" s="597" t="str">
        <f>IF($AM$1=TRUE,IF(K45="","",IF(IF($AE$2="",IF(K45="","",SUBTOTAL(2,$K$3:K45)),IF(AND(G45&gt;=0,K45=""),"",IF(AND(G45&gt;0,OR(K45&gt;0,K45&lt;0)),SUBTOTAL(2,$K$3:K45),IF(AND(G45=0,OR(K45&gt;0,K45&lt;0)),SUBTOTAL(2,$K$3:K45)+200,""))))&gt;200,"",1)),IF(K45="","",IF(IF($AE$2="",IF(K45="","",SUBTOTAL(2,$K$3:K45)),IF(AND(G45&gt;=0,K45=""),"",IF(AND(G45&gt;0,OR(K45&gt;0,K45&lt;0)),SUBTOTAL(2,$K$3:K45),IF(AND(G45=0,OR(K45&gt;0,K45&lt;0)),SUBTOTAL(2,$K$3:K45)+200,""))))&gt;200,"",1)))</f>
        <v/>
      </c>
      <c r="N45" s="161" t="str">
        <f>IF($AM$1=TRUE,IF(K45="","",IF(IF($AE$2="",IF(K45="","",SUBTOTAL(2,$K$3:K45)),IF(AND(G45&gt;=0,K45=""),"",IF(AND(G45&gt;0,OR(K45&gt;0,K45&lt;0)),SUBTOTAL(2,$K$3:K45),IF(AND(G45=0,OR(K45&gt;0,K45&lt;0)),SUBTOTAL(2,$K$3:K45)+200,""))))&lt;=200,"",2)),IF(K45="","",IF(IF($AE$2="",IF(K45="","",SUBTOTAL(2,$K$3:K45)),IF(AND(G45&gt;=0,K45=""),"",IF(AND(G45&gt;0,OR(K45&gt;0,K45&lt;0)),SUBTOTAL(2,$K$3:K45),IF(AND(G45=0,OR(K45&gt;0,K45&lt;0)),SUBTOTAL(2,$K$3:K45)+200,""))))&lt;=200,"",2)))</f>
        <v/>
      </c>
      <c r="O45" s="463"/>
      <c r="P45" s="364">
        <f>IFERROR(IF($AE$2="추경",IF(VLOOKUP(R45,$B$1:$L$28,6,FALSE)&lt;=VLOOKUP(R45,$B$1:$L$28,11,FALSE),ROUNDUP(VLOOKUP(R45,$B$1:$L$28,11,FALSE)/U45,-3),ROUNDUP(VLOOKUP(R45,$B$1:$L$28,6,FALSE)/U45,-3)),IF(VLOOKUP(R45,$B$1:$L$28,11,FALSE)&gt;0,ROUNDUP(VLOOKUP(R45,$B$1:$L$28,11,FALSE)*110%/$Y$8,-3),ROUND((H15*10%)/$Y$8,-4))),0)</f>
        <v>0</v>
      </c>
      <c r="Q45" s="487">
        <v>0</v>
      </c>
      <c r="R45" s="357" t="s">
        <v>24</v>
      </c>
      <c r="S45" s="302" t="s">
        <v>6</v>
      </c>
      <c r="T45" s="358">
        <f t="shared" ref="T45:T60" si="12">IF(O45="",P45,O45)</f>
        <v>0</v>
      </c>
      <c r="U45" s="365">
        <f t="shared" si="10"/>
        <v>12</v>
      </c>
      <c r="V45" s="376" t="s">
        <v>139</v>
      </c>
      <c r="X45" s="556" t="str">
        <f>IF(예산실적비교표!A35="X","",예산실적비교표!A35)</f>
        <v>사무용품</v>
      </c>
      <c r="Y45" s="750">
        <f>IF($AB$2="",0,IF(X45="",0,IF(예산실적비교표!B35=0,ROUND($Y$42*15%,-3),예산실적비교표!B35)))</f>
        <v>600000</v>
      </c>
      <c r="Z45" s="556" t="str">
        <f>IF(예산실적비교표!C35="X","",예산실적비교표!C35)</f>
        <v>TV,통신요금 등</v>
      </c>
      <c r="AA45" s="750">
        <v>800000</v>
      </c>
      <c r="AB45" s="556" t="str">
        <f>IF(예산실적비교표!E35="X","",예산실적비교표!E35)</f>
        <v>각종공과금 등</v>
      </c>
      <c r="AC45" s="750">
        <v>1000000</v>
      </c>
      <c r="AD45" s="556" t="str">
        <f>IF(예산실적비교표!G35="X","",예산실적비교표!G35)</f>
        <v/>
      </c>
      <c r="AE45" s="750">
        <f>IF($AB$2="",0,IF(AD45="",0,예산실적비교표!H35))</f>
        <v>0</v>
      </c>
      <c r="AF45" s="537">
        <f>IF($AF$43&lt;&gt;예산실적비교표!$B$3,$U$80,예산실적비교표!I35)</f>
        <v>12</v>
      </c>
      <c r="AH45" s="279" t="str">
        <f>세출예산서!L158</f>
        <v xml:space="preserve">  - 직원상여금</v>
      </c>
      <c r="AI45" s="1346">
        <f>세출예산서!V158</f>
        <v>1450000</v>
      </c>
      <c r="AJ45" s="1347"/>
      <c r="AP45" s="981" t="str">
        <f>IF(예산실적비교표!AL45&lt;&gt;"",예산실적비교표!AL45,"")</f>
        <v/>
      </c>
      <c r="AQ45" s="982" t="str">
        <f>IF(예산실적비교표!AM45&lt;&gt;"",예산실적비교표!AM45,"")</f>
        <v/>
      </c>
      <c r="AR45" s="983">
        <f>IF(AND(예산실적비교표!AN45&lt;&gt;"",예산실적비교표!AN45&gt;1),예산실적비교표!AN45,0)</f>
        <v>0</v>
      </c>
      <c r="AS45" s="984">
        <f>IF(예산실적비교표!AO45&lt;&gt;"",예산실적비교표!AO45,0)</f>
        <v>0</v>
      </c>
      <c r="AT45" s="971">
        <f t="shared" si="2"/>
        <v>0</v>
      </c>
      <c r="AU45" s="985">
        <f>IF(예산실적비교표!AQ45&lt;&gt;"",예산실적비교표!AQ45,0)</f>
        <v>0</v>
      </c>
      <c r="AV45" s="973">
        <f t="shared" si="5"/>
        <v>0</v>
      </c>
      <c r="AW45" s="974">
        <f>IF(AR45="","",ROUND((AT45*$AT$7)*데이터입력!$AE$14+(AT45*$AU$7)*데이터입력!$AE$14+(AT45*$AU$7*$AV$7)*데이터입력!$AE$14+(AT45*$AW$7)*데이터입력!$AE$14+(AT45*$AX$7)*데이터입력!$AE$14,-1))</f>
        <v>0</v>
      </c>
      <c r="AX45" s="975">
        <f t="shared" si="6"/>
        <v>0</v>
      </c>
      <c r="AY45" s="976">
        <f>IFERROR(IF($AE$2=TRUE,IF(AR45+AS45=0,0,AR45+AS45),ROUND(IF(데이터입력!$AE$14=100%,ROUND(AR45*$AR$1,-3),ROUND(AR45*$AR$1,-3)-ROUND(((AR45*$AR$1)*$AT$4)*(데이터입력!$AE$14-100%)+((AR45*$AR$1)*$AU$4)*(데이터입력!$AE$14-100%)+((AR45*$AR$1)*$AU$4*$AV$4)*(데이터입력!$AE$14-100%)+((AR45*$AR$1)*$AW$4)*(데이터입력!$AE$14-100%),-1)),0)),0)</f>
        <v>0</v>
      </c>
      <c r="AZ45" s="977">
        <f>IFERROR(IF(AR45+AS45=0,0,IF(데이터입력!$AE$12=100%,(AT45),(AT45)+ROUND(AT45*(데이터입력!$AE$12-100%),-1))),0)</f>
        <v>0</v>
      </c>
      <c r="BA45" s="1095" t="str">
        <f>IFERROR(IF(AZ45=0,"",IF(AND(예산실적비교표!AP45&gt;0,예산실적비교표!AW45=0),"",ROUND(AZ45/12,0))),0)</f>
        <v/>
      </c>
      <c r="BB45" s="1116" t="str">
        <f>IF(BA45="","",IF(데이터입력!$O$71="",ROUND(AZ45/12,0),ROUND(데이터입력!$O$71/데이터입력!$Y$8/$BC$11,0)))</f>
        <v/>
      </c>
      <c r="BC45" s="1120" t="s">
        <v>749</v>
      </c>
      <c r="BD45" s="1121" t="s">
        <v>750</v>
      </c>
      <c r="BE45" s="1122" t="s">
        <v>751</v>
      </c>
      <c r="BF45" s="1122" t="s">
        <v>754</v>
      </c>
      <c r="BG45" s="1200" t="s">
        <v>758</v>
      </c>
      <c r="BH45" s="1581" t="s">
        <v>729</v>
      </c>
      <c r="BI45" s="1582"/>
      <c r="BJ45" s="1585" t="s">
        <v>781</v>
      </c>
      <c r="BK45" s="1585" t="s">
        <v>803</v>
      </c>
      <c r="BL45" s="1201" t="s">
        <v>804</v>
      </c>
      <c r="BM45" s="1208" t="s">
        <v>805</v>
      </c>
      <c r="BN45" s="1585" t="s">
        <v>807</v>
      </c>
      <c r="BO45" s="1585" t="s">
        <v>808</v>
      </c>
      <c r="BP45" s="1585" t="s">
        <v>783</v>
      </c>
      <c r="BQ45" s="1585" t="s">
        <v>784</v>
      </c>
      <c r="BR45" s="1587" t="s">
        <v>809</v>
      </c>
    </row>
    <row r="46" spans="1:70" ht="18" customHeight="1" thickBot="1">
      <c r="A46" s="901" t="str">
        <f>IF($AM$1=TRUE,IF(K46="","",SUBTOTAL(2,$K$3:K46)),IF(AND(M46="",N46=""),"",IF(N46="",COUNT($M$3:M46),COUNT($N$3:N46)+200)))</f>
        <v/>
      </c>
      <c r="B46" s="303" t="s">
        <v>44</v>
      </c>
      <c r="C46" s="303" t="s">
        <v>532</v>
      </c>
      <c r="D46" s="302">
        <v>501010301</v>
      </c>
      <c r="E46" s="302" t="s">
        <v>83</v>
      </c>
      <c r="F46" s="302" t="s">
        <v>80</v>
      </c>
      <c r="G46" s="304">
        <f>IFERROR(IF($E46="06",VLOOKUP($B46,예산실적비교표!$O$7:$R$200,2,FALSE),0),0)</f>
        <v>0</v>
      </c>
      <c r="H46" s="304">
        <f>IFERROR(IF($E46="06",VLOOKUP($C46,세출예산서!$K$3:$X$307,12,FALSE),0),0)</f>
        <v>0</v>
      </c>
      <c r="I46" s="304">
        <f>IFERROR(IF($E46="07",VLOOKUP($C46,세출예산서!$K$3:$X$307,13,FALSE),0),0)</f>
        <v>0</v>
      </c>
      <c r="J46" s="304">
        <f>IFERROR(IF($E46="05",VLOOKUP($C46,세출예산서!$K$3:$X$307,14,FALSE),0),0)</f>
        <v>0</v>
      </c>
      <c r="K46" s="304" t="str">
        <f t="shared" si="11"/>
        <v/>
      </c>
      <c r="L46" s="305">
        <f>IFERROR(IF($AB$2="",0,ROUNDUP(VLOOKUP($B46,예산실적비교표!$O$7:$R$200,3,FALSE)/($Y$8-(12-$Y$9)),-2)*$Y$8),0)</f>
        <v>0</v>
      </c>
      <c r="M46" s="597" t="str">
        <f>IF($AM$1=TRUE,IF(K46="","",IF(IF($AE$2="",IF(K46="","",SUBTOTAL(2,$K$3:K46)),IF(AND(G46&gt;=0,K46=""),"",IF(AND(G46&gt;0,OR(K46&gt;0,K46&lt;0)),SUBTOTAL(2,$K$3:K46),IF(AND(G46=0,OR(K46&gt;0,K46&lt;0)),SUBTOTAL(2,$K$3:K46)+200,""))))&gt;200,"",1)),IF(K46="","",IF(IF($AE$2="",IF(K46="","",SUBTOTAL(2,$K$3:K46)),IF(AND(G46&gt;=0,K46=""),"",IF(AND(G46&gt;0,OR(K46&gt;0,K46&lt;0)),SUBTOTAL(2,$K$3:K46),IF(AND(G46=0,OR(K46&gt;0,K46&lt;0)),SUBTOTAL(2,$K$3:K46)+200,""))))&gt;200,"",1)))</f>
        <v/>
      </c>
      <c r="N46" s="161" t="str">
        <f>IF($AM$1=TRUE,IF(K46="","",IF(IF($AE$2="",IF(K46="","",SUBTOTAL(2,$K$3:K46)),IF(AND(G46&gt;=0,K46=""),"",IF(AND(G46&gt;0,OR(K46&gt;0,K46&lt;0)),SUBTOTAL(2,$K$3:K46),IF(AND(G46=0,OR(K46&gt;0,K46&lt;0)),SUBTOTAL(2,$K$3:K46)+200,""))))&lt;=200,"",2)),IF(K46="","",IF(IF($AE$2="",IF(K46="","",SUBTOTAL(2,$K$3:K46)),IF(AND(G46&gt;=0,K46=""),"",IF(AND(G46&gt;0,OR(K46&gt;0,K46&lt;0)),SUBTOTAL(2,$K$3:K46),IF(AND(G46=0,OR(K46&gt;0,K46&lt;0)),SUBTOTAL(2,$K$3:K46)+200,""))))&lt;=200,"",2)))</f>
        <v/>
      </c>
      <c r="O46" s="463"/>
      <c r="P46" s="364">
        <f>IFERROR(IF($AE$2="추경",IF(VLOOKUP(R46,$B$1:$L$28,11,FALSE)&gt;=VLOOKUP(R46,$B$1:$L$28,6,FALSE),ROUNDUP(VLOOKUP(R46,$B$1:$L$28,11,FALSE)/U46,-4)*U46,VLOOKUP(R46,$B$1:$L$28,6,FALSE)),IF(VLOOKUP(R46,$B$1:$L$28,11,FALSE)&gt;0,VLOOKUP(R46,$B$1:$L$28,11,FALSE),VLOOKUP(R46,예산평균!$B:$D,3,FALSE))),0)</f>
        <v>0</v>
      </c>
      <c r="Q46" s="487">
        <v>0</v>
      </c>
      <c r="R46" s="357" t="s">
        <v>25</v>
      </c>
      <c r="S46" s="302" t="s">
        <v>6</v>
      </c>
      <c r="T46" s="358">
        <f t="shared" si="12"/>
        <v>0</v>
      </c>
      <c r="U46" s="365">
        <f t="shared" si="10"/>
        <v>12</v>
      </c>
      <c r="V46" s="360" t="s">
        <v>267</v>
      </c>
      <c r="X46" s="556" t="str">
        <f>IF(예산실적비교표!A36="X","",예산실적비교표!A36)</f>
        <v>기타(소독,점검비 등)</v>
      </c>
      <c r="Y46" s="750">
        <f>IF($AB$2="",0,IF(X46="",0,IF(예산실적비교표!B36=0,ROUND($Y$42*20%,-3),예산실적비교표!B36)))</f>
        <v>1000000</v>
      </c>
      <c r="Z46" s="556" t="str">
        <f>IF(예산실적비교표!C36="X","",예산실적비교표!C36)</f>
        <v>기타(관리비 등)</v>
      </c>
      <c r="AA46" s="750">
        <v>2500000</v>
      </c>
      <c r="AB46" s="556" t="str">
        <f>IF(예산실적비교표!E36="X","",예산실적비교표!E36)</f>
        <v>기타(보험료 등)</v>
      </c>
      <c r="AC46" s="750">
        <v>1000000</v>
      </c>
      <c r="AD46" s="556" t="str">
        <f>IF(예산실적비교표!G36="X","",예산실적비교표!G36)</f>
        <v/>
      </c>
      <c r="AE46" s="750">
        <f>IF($AB$2="",0,IF(AD46="",0,예산실적비교표!H36))</f>
        <v>0</v>
      </c>
      <c r="AF46" s="537">
        <f>IF($AF$43&lt;&gt;예산실적비교표!$B$3,$U$80,예산실적비교표!I36)</f>
        <v>12</v>
      </c>
      <c r="AH46" s="279" t="str">
        <f>세출예산서!L159</f>
        <v xml:space="preserve">  - 명절상여금</v>
      </c>
      <c r="AI46" s="1346">
        <f>세출예산서!V159</f>
        <v>2900000</v>
      </c>
      <c r="AJ46" s="1347"/>
      <c r="AP46" s="981" t="str">
        <f>IF(예산실적비교표!AL46&lt;&gt;"",예산실적비교표!AL46,"")</f>
        <v/>
      </c>
      <c r="AQ46" s="982" t="str">
        <f>IF(예산실적비교표!AM46&lt;&gt;"",예산실적비교표!AM46,"")</f>
        <v/>
      </c>
      <c r="AR46" s="983">
        <f>IF(AND(예산실적비교표!AN46&lt;&gt;"",예산실적비교표!AN46&gt;1),예산실적비교표!AN46,0)</f>
        <v>0</v>
      </c>
      <c r="AS46" s="984">
        <f>IF(예산실적비교표!AO46&lt;&gt;"",예산실적비교표!AO46,0)</f>
        <v>0</v>
      </c>
      <c r="AT46" s="971">
        <f t="shared" si="2"/>
        <v>0</v>
      </c>
      <c r="AU46" s="985">
        <f>IF(예산실적비교표!AQ46&lt;&gt;"",예산실적비교표!AQ46,0)</f>
        <v>0</v>
      </c>
      <c r="AV46" s="973">
        <f t="shared" si="5"/>
        <v>0</v>
      </c>
      <c r="AW46" s="974">
        <f>IF(AR46="","",ROUND((AT46*$AT$7)*데이터입력!$AE$14+(AT46*$AU$7)*데이터입력!$AE$14+(AT46*$AU$7*$AV$7)*데이터입력!$AE$14+(AT46*$AW$7)*데이터입력!$AE$14+(AT46*$AX$7)*데이터입력!$AE$14,-1))</f>
        <v>0</v>
      </c>
      <c r="AX46" s="975">
        <f t="shared" si="6"/>
        <v>0</v>
      </c>
      <c r="AY46" s="976">
        <f>IFERROR(IF($AE$2=TRUE,IF(AR46+AS46=0,0,AR46+AS46),ROUND(IF(데이터입력!$AE$14=100%,ROUND(AR46*$AR$1,-3),ROUND(AR46*$AR$1,-3)-ROUND(((AR46*$AR$1)*$AT$4)*(데이터입력!$AE$14-100%)+((AR46*$AR$1)*$AU$4)*(데이터입력!$AE$14-100%)+((AR46*$AR$1)*$AU$4*$AV$4)*(데이터입력!$AE$14-100%)+((AR46*$AR$1)*$AW$4)*(데이터입력!$AE$14-100%),-1)),0)),0)</f>
        <v>0</v>
      </c>
      <c r="AZ46" s="977">
        <f>IFERROR(IF(AR46+AS46=0,0,IF(데이터입력!$AE$12=100%,(AT46),(AT46)+ROUND(AT46*(데이터입력!$AE$12-100%),-1))),0)</f>
        <v>0</v>
      </c>
      <c r="BA46" s="1095" t="str">
        <f>IFERROR(IF(AZ46=0,"",IF(AND(예산실적비교표!AP46&gt;0,예산실적비교표!AW46=0),"",ROUND(AZ46/12,0))),0)</f>
        <v/>
      </c>
      <c r="BB46" s="1116" t="str">
        <f>IF(BA46="","",IF(데이터입력!$O$71="",ROUND(AZ46/12,0),ROUND(데이터입력!$O$71/데이터입력!$Y$8/$BC$11,0)))</f>
        <v/>
      </c>
      <c r="BC46" s="1125" t="s">
        <v>740</v>
      </c>
      <c r="BD46" s="1565" t="s">
        <v>753</v>
      </c>
      <c r="BE46" s="1566"/>
      <c r="BF46" s="1566"/>
      <c r="BG46" s="1566"/>
      <c r="BH46" s="1583"/>
      <c r="BI46" s="1584"/>
      <c r="BJ46" s="1586"/>
      <c r="BK46" s="1586"/>
      <c r="BL46" s="1198" t="s">
        <v>782</v>
      </c>
      <c r="BM46" s="1199" t="s">
        <v>806</v>
      </c>
      <c r="BN46" s="1586"/>
      <c r="BO46" s="1586"/>
      <c r="BP46" s="1586"/>
      <c r="BQ46" s="1586"/>
      <c r="BR46" s="1588"/>
    </row>
    <row r="47" spans="1:70" ht="18" customHeight="1">
      <c r="A47" s="901" t="str">
        <f>IF($AM$1=TRUE,IF(K47="","",SUBTOTAL(2,$K$3:K47)),IF(AND(M47="",N47=""),"",IF(N47="",COUNT($M$3:M47),COUNT($N$3:N47)+200)))</f>
        <v/>
      </c>
      <c r="B47" s="303" t="s">
        <v>45</v>
      </c>
      <c r="C47" s="303" t="s">
        <v>533</v>
      </c>
      <c r="D47" s="302">
        <v>501010302</v>
      </c>
      <c r="E47" s="302" t="s">
        <v>83</v>
      </c>
      <c r="F47" s="302" t="s">
        <v>80</v>
      </c>
      <c r="G47" s="304">
        <f>IFERROR(IF($E47="06",VLOOKUP($B47,예산실적비교표!$O$7:$R$200,2,FALSE),0),0)</f>
        <v>0</v>
      </c>
      <c r="H47" s="304">
        <f>IFERROR(IF($E47="06",VLOOKUP($C47,세출예산서!$K$3:$X$307,12,FALSE),0),0)</f>
        <v>0</v>
      </c>
      <c r="I47" s="304">
        <f>IFERROR(IF($E47="07",VLOOKUP($C47,세출예산서!$K$3:$X$307,13,FALSE),0),0)</f>
        <v>0</v>
      </c>
      <c r="J47" s="304">
        <f>IFERROR(IF($E47="05",VLOOKUP($C47,세출예산서!$K$3:$X$307,14,FALSE),0),0)</f>
        <v>0</v>
      </c>
      <c r="K47" s="304" t="str">
        <f t="shared" si="11"/>
        <v/>
      </c>
      <c r="L47" s="305">
        <f>IFERROR(IF($AB$2="",0,ROUNDUP(VLOOKUP($B47,예산실적비교표!$O$7:$R$200,3,FALSE)/($Y$8-(12-$Y$9)),-2)*$Y$8),0)</f>
        <v>0</v>
      </c>
      <c r="M47" s="597" t="str">
        <f>IF($AM$1=TRUE,IF(K47="","",IF(IF($AE$2="",IF(K47="","",SUBTOTAL(2,$K$3:K47)),IF(AND(G47&gt;=0,K47=""),"",IF(AND(G47&gt;0,OR(K47&gt;0,K47&lt;0)),SUBTOTAL(2,$K$3:K47),IF(AND(G47=0,OR(K47&gt;0,K47&lt;0)),SUBTOTAL(2,$K$3:K47)+200,""))))&gt;200,"",1)),IF(K47="","",IF(IF($AE$2="",IF(K47="","",SUBTOTAL(2,$K$3:K47)),IF(AND(G47&gt;=0,K47=""),"",IF(AND(G47&gt;0,OR(K47&gt;0,K47&lt;0)),SUBTOTAL(2,$K$3:K47),IF(AND(G47=0,OR(K47&gt;0,K47&lt;0)),SUBTOTAL(2,$K$3:K47)+200,""))))&gt;200,"",1)))</f>
        <v/>
      </c>
      <c r="N47" s="161" t="str">
        <f>IF($AM$1=TRUE,IF(K47="","",IF(IF($AE$2="",IF(K47="","",SUBTOTAL(2,$K$3:K47)),IF(AND(G47&gt;=0,K47=""),"",IF(AND(G47&gt;0,OR(K47&gt;0,K47&lt;0)),SUBTOTAL(2,$K$3:K47),IF(AND(G47=0,OR(K47&gt;0,K47&lt;0)),SUBTOTAL(2,$K$3:K47)+200,""))))&lt;=200,"",2)),IF(K47="","",IF(IF($AE$2="",IF(K47="","",SUBTOTAL(2,$K$3:K47)),IF(AND(G47&gt;=0,K47=""),"",IF(AND(G47&gt;0,OR(K47&gt;0,K47&lt;0)),SUBTOTAL(2,$K$3:K47),IF(AND(G47=0,OR(K47&gt;0,K47&lt;0)),SUBTOTAL(2,$K$3:K47)+200,""))))&lt;=200,"",2)))</f>
        <v/>
      </c>
      <c r="O47" s="463"/>
      <c r="P47" s="364">
        <f>IFERROR(IF($AE$2="추경",IF(VLOOKUP(R47,$B$1:$L$28,11,FALSE)&gt;=VLOOKUP(R47,$B$1:$L$28,6,FALSE),ROUNDUP(VLOOKUP(R47,$B$1:$L$28,11,FALSE)/U47,-4)*U47,VLOOKUP(R47,$B$1:$L$28,6,FALSE)),0),0)</f>
        <v>0</v>
      </c>
      <c r="Q47" s="487">
        <v>0</v>
      </c>
      <c r="R47" s="357" t="s">
        <v>26</v>
      </c>
      <c r="S47" s="302" t="s">
        <v>6</v>
      </c>
      <c r="T47" s="358">
        <f t="shared" si="12"/>
        <v>0</v>
      </c>
      <c r="U47" s="365">
        <f t="shared" si="10"/>
        <v>12</v>
      </c>
      <c r="V47" s="360" t="s">
        <v>267</v>
      </c>
      <c r="X47" s="556" t="str">
        <f>IF(예산실적비교표!A37="X","",예산실적비교표!A37)</f>
        <v/>
      </c>
      <c r="Y47" s="750">
        <f>IF($AB$2="",0,IF(X47="",0,예산실적비교표!B37))</f>
        <v>0</v>
      </c>
      <c r="Z47" s="556" t="str">
        <f>IF(예산실적비교표!C37="X","",예산실적비교표!C37)</f>
        <v/>
      </c>
      <c r="AA47" s="750">
        <f>IF($AB$2="",0,IF(Z47="",0,예산실적비교표!D37))</f>
        <v>0</v>
      </c>
      <c r="AB47" s="556" t="str">
        <f>IF(예산실적비교표!E37="X","",예산실적비교표!E37)</f>
        <v/>
      </c>
      <c r="AC47" s="750">
        <f>IF($AB$2="",0,IF(AB47="",0,예산실적비교표!F37))</f>
        <v>0</v>
      </c>
      <c r="AD47" s="556" t="str">
        <f>IF(예산실적비교표!G37="X","",예산실적비교표!G37)</f>
        <v/>
      </c>
      <c r="AE47" s="750">
        <f>IF($AB$2="",0,IF(AD47="",0,예산실적비교표!H37))</f>
        <v>0</v>
      </c>
      <c r="AF47" s="537">
        <f>IF($AF$43&lt;&gt;예산실적비교표!$B$3,$U$80,예산실적비교표!I37)</f>
        <v>12</v>
      </c>
      <c r="AH47" s="279" t="str">
        <f>세출예산서!L160</f>
        <v xml:space="preserve">  - 직원교육비</v>
      </c>
      <c r="AI47" s="1346">
        <f>세출예산서!V160</f>
        <v>600000</v>
      </c>
      <c r="AJ47" s="1347"/>
      <c r="AP47" s="981" t="str">
        <f>IF(예산실적비교표!AL47&lt;&gt;"",예산실적비교표!AL47,"")</f>
        <v/>
      </c>
      <c r="AQ47" s="982" t="str">
        <f>IF(예산실적비교표!AM47&lt;&gt;"",예산실적비교표!AM47,"")</f>
        <v/>
      </c>
      <c r="AR47" s="983">
        <f>IF(AND(예산실적비교표!AN47&lt;&gt;"",예산실적비교표!AN47&gt;1),예산실적비교표!AN47,0)</f>
        <v>0</v>
      </c>
      <c r="AS47" s="984">
        <f>IF(예산실적비교표!AO47&lt;&gt;"",예산실적비교표!AO47,0)</f>
        <v>0</v>
      </c>
      <c r="AT47" s="971">
        <f t="shared" si="2"/>
        <v>0</v>
      </c>
      <c r="AU47" s="985">
        <f>IF(예산실적비교표!AQ47&lt;&gt;"",예산실적비교표!AQ47,0)</f>
        <v>0</v>
      </c>
      <c r="AV47" s="973">
        <f t="shared" si="5"/>
        <v>0</v>
      </c>
      <c r="AW47" s="974">
        <f>IF(AR47="","",ROUND((AT47*$AT$7)*데이터입력!$AE$14+(AT47*$AU$7)*데이터입력!$AE$14+(AT47*$AU$7*$AV$7)*데이터입력!$AE$14+(AT47*$AW$7)*데이터입력!$AE$14+(AT47*$AX$7)*데이터입력!$AE$14,-1))</f>
        <v>0</v>
      </c>
      <c r="AX47" s="975">
        <f t="shared" si="6"/>
        <v>0</v>
      </c>
      <c r="AY47" s="976">
        <f>IFERROR(IF($AE$2=TRUE,IF(AR47+AS47=0,0,AR47+AS47),ROUND(IF(데이터입력!$AE$14=100%,ROUND(AR47*$AR$1,-3),ROUND(AR47*$AR$1,-3)-ROUND(((AR47*$AR$1)*$AT$4)*(데이터입력!$AE$14-100%)+((AR47*$AR$1)*$AU$4)*(데이터입력!$AE$14-100%)+((AR47*$AR$1)*$AU$4*$AV$4)*(데이터입력!$AE$14-100%)+((AR47*$AR$1)*$AW$4)*(데이터입력!$AE$14-100%),-1)),0)),0)</f>
        <v>0</v>
      </c>
      <c r="AZ47" s="977">
        <f>IFERROR(IF(AR47+AS47=0,0,IF(데이터입력!$AE$12=100%,(AT47),(AT47)+ROUND(AT47*(데이터입력!$AE$12-100%),-1))),0)</f>
        <v>0</v>
      </c>
      <c r="BA47" s="1095" t="str">
        <f>IFERROR(IF(AZ47=0,"",IF(AND(예산실적비교표!AP47&gt;0,예산실적비교표!AW47=0),"",ROUND(AZ47/12,0))),0)</f>
        <v/>
      </c>
      <c r="BB47" s="1116" t="str">
        <f>IF(BA47="","",IF(데이터입력!$O$71="",ROUND(AZ47/12,0),ROUND(데이터입력!$O$71/데이터입력!$Y$8/$BC$11,0)))</f>
        <v/>
      </c>
      <c r="BC47" s="1126" t="s">
        <v>741</v>
      </c>
      <c r="BD47" s="1571" t="s">
        <v>761</v>
      </c>
      <c r="BE47" s="326" t="s">
        <v>756</v>
      </c>
      <c r="BF47" s="326" t="s">
        <v>753</v>
      </c>
      <c r="BG47" s="1196" t="s">
        <v>753</v>
      </c>
      <c r="BH47" s="1581" t="s">
        <v>223</v>
      </c>
      <c r="BI47" s="1582"/>
      <c r="BJ47" s="1585" t="s">
        <v>752</v>
      </c>
      <c r="BK47" s="1585" t="s">
        <v>752</v>
      </c>
      <c r="BL47" s="1585"/>
      <c r="BM47" s="1585"/>
      <c r="BN47" s="1585"/>
      <c r="BO47" s="1585" t="s">
        <v>795</v>
      </c>
      <c r="BP47" s="1585"/>
      <c r="BQ47" s="1585"/>
      <c r="BR47" s="1587"/>
    </row>
    <row r="48" spans="1:70" ht="18" customHeight="1">
      <c r="A48" s="901" t="str">
        <f>IF($AM$1=TRUE,IF(K48="","",SUBTOTAL(2,$K$3:K48)),IF(AND(M48="",N48=""),"",IF(N48="",COUNT($M$3:M48),COUNT($N$3:N48)+200)))</f>
        <v/>
      </c>
      <c r="B48" s="303" t="s">
        <v>46</v>
      </c>
      <c r="C48" s="303" t="s">
        <v>534</v>
      </c>
      <c r="D48" s="302">
        <v>501010501</v>
      </c>
      <c r="E48" s="302" t="s">
        <v>83</v>
      </c>
      <c r="F48" s="302" t="s">
        <v>80</v>
      </c>
      <c r="G48" s="304">
        <f>IFERROR(IF($E48="06",VLOOKUP($B48,예산실적비교표!$O$7:$R$200,2,FALSE),0),0)</f>
        <v>80978000</v>
      </c>
      <c r="H48" s="304">
        <f>IFERROR(IF($E48="06",VLOOKUP($C48,세출예산서!$K$3:$X$307,12,FALSE),0),0)</f>
        <v>0</v>
      </c>
      <c r="I48" s="304">
        <f>IFERROR(IF($E48="07",VLOOKUP($C48,세출예산서!$K$3:$X$307,13,FALSE),0),0)</f>
        <v>0</v>
      </c>
      <c r="J48" s="304">
        <f>IFERROR(IF($E48="05",VLOOKUP($C48,세출예산서!$K$3:$X$307,14,FALSE),0),0)</f>
        <v>0</v>
      </c>
      <c r="K48" s="304" t="str">
        <f t="shared" si="11"/>
        <v/>
      </c>
      <c r="L48" s="305">
        <f>IFERROR(IF($AB$2="",0,ROUNDUP(VLOOKUP($B48,예산실적비교표!$O$7:$R$200,3,FALSE)/($Y$8-(12-$Y$9)),-2)*$Y$8),0)</f>
        <v>80978400</v>
      </c>
      <c r="M48" s="597" t="str">
        <f>IF($AM$1=TRUE,IF(K48="","",IF(IF($AE$2="",IF(K48="","",SUBTOTAL(2,$K$3:K48)),IF(AND(G48&gt;=0,K48=""),"",IF(AND(G48&gt;0,OR(K48&gt;0,K48&lt;0)),SUBTOTAL(2,$K$3:K48),IF(AND(G48=0,OR(K48&gt;0,K48&lt;0)),SUBTOTAL(2,$K$3:K48)+200,""))))&gt;200,"",1)),IF(K48="","",IF(IF($AE$2="",IF(K48="","",SUBTOTAL(2,$K$3:K48)),IF(AND(G48&gt;=0,K48=""),"",IF(AND(G48&gt;0,OR(K48&gt;0,K48&lt;0)),SUBTOTAL(2,$K$3:K48),IF(AND(G48=0,OR(K48&gt;0,K48&lt;0)),SUBTOTAL(2,$K$3:K48)+200,""))))&gt;200,"",1)))</f>
        <v/>
      </c>
      <c r="N48" s="161" t="str">
        <f>IF($AM$1=TRUE,IF(K48="","",IF(IF($AE$2="",IF(K48="","",SUBTOTAL(2,$K$3:K48)),IF(AND(G48&gt;=0,K48=""),"",IF(AND(G48&gt;0,OR(K48&gt;0,K48&lt;0)),SUBTOTAL(2,$K$3:K48),IF(AND(G48=0,OR(K48&gt;0,K48&lt;0)),SUBTOTAL(2,$K$3:K48)+200,""))))&lt;=200,"",2)),IF(K48="","",IF(IF($AE$2="",IF(K48="","",SUBTOTAL(2,$K$3:K48)),IF(AND(G48&gt;=0,K48=""),"",IF(AND(G48&gt;0,OR(K48&gt;0,K48&lt;0)),SUBTOTAL(2,$K$3:K48),IF(AND(G48=0,OR(K48&gt;0,K48&lt;0)),SUBTOTAL(2,$K$3:K48)+200,""))))&lt;=200,"",2)))</f>
        <v/>
      </c>
      <c r="O48" s="463"/>
      <c r="P48" s="364">
        <f>IFERROR(IF($AE$2="추경",IF(VLOOKUP(R48,$B$1:$L$28,11,FALSE)&gt;=VLOOKUP(R48,$B$1:$L$28,6,FALSE),ROUNDUP(VLOOKUP(R48,$B$1:$L$28,11,FALSE)/U48,-4)*U48,VLOOKUP(R48,$B$1:$L$28,6,FALSE)),IF(VLOOKUP(R48,$B$1:$L$28,11,FALSE)&gt;0,VLOOKUP(R48,$B$1:$L$28,11,FALSE),VLOOKUP(R48,예산평균!$B:$D,3,FALSE))),0)</f>
        <v>0</v>
      </c>
      <c r="Q48" s="487">
        <v>0</v>
      </c>
      <c r="R48" s="357" t="s">
        <v>27</v>
      </c>
      <c r="S48" s="302" t="s">
        <v>6</v>
      </c>
      <c r="T48" s="358">
        <f t="shared" si="12"/>
        <v>0</v>
      </c>
      <c r="U48" s="365">
        <f t="shared" si="10"/>
        <v>12</v>
      </c>
      <c r="V48" s="360" t="s">
        <v>126</v>
      </c>
      <c r="X48" s="556" t="str">
        <f>IF(예산실적비교표!A38="X","",예산실적비교표!A38)</f>
        <v/>
      </c>
      <c r="Y48" s="750">
        <f>IF($AB$2="",0,IF(X48="",0,예산실적비교표!B38))</f>
        <v>0</v>
      </c>
      <c r="Z48" s="556" t="str">
        <f>IF(예산실적비교표!C38="X","",예산실적비교표!C38)</f>
        <v/>
      </c>
      <c r="AA48" s="750">
        <f>IF($AB$2="",0,IF(Z48="",0,예산실적비교표!D38))</f>
        <v>0</v>
      </c>
      <c r="AB48" s="556" t="str">
        <f>IF(예산실적비교표!E38="X","",예산실적비교표!E38)</f>
        <v/>
      </c>
      <c r="AC48" s="750">
        <f>IF($AB$2="",0,IF(AB48="",0,예산실적비교표!F38))</f>
        <v>0</v>
      </c>
      <c r="AD48" s="556" t="str">
        <f>IF(예산실적비교표!G38="X","",예산실적비교표!G38)</f>
        <v/>
      </c>
      <c r="AE48" s="750">
        <f>IF($AB$2="",0,IF(AD48="",0,예산실적비교표!H38))</f>
        <v>0</v>
      </c>
      <c r="AF48" s="537">
        <f>IF($AF$43&lt;&gt;예산실적비교표!$B$3,$U$80,예산실적비교표!I38)</f>
        <v>12</v>
      </c>
      <c r="AH48" s="279" t="str">
        <f>세출예산서!L161</f>
        <v xml:space="preserve">  - 경조사비</v>
      </c>
      <c r="AI48" s="1346">
        <f>세출예산서!V161</f>
        <v>1200000</v>
      </c>
      <c r="AJ48" s="1347"/>
      <c r="AP48" s="981" t="str">
        <f>IF(예산실적비교표!AL48&lt;&gt;"",예산실적비교표!AL48,"")</f>
        <v/>
      </c>
      <c r="AQ48" s="982" t="str">
        <f>IF(예산실적비교표!AM48&lt;&gt;"",예산실적비교표!AM48,"")</f>
        <v/>
      </c>
      <c r="AR48" s="983">
        <f>IF(AND(예산실적비교표!AN48&lt;&gt;"",예산실적비교표!AN48&gt;1),예산실적비교표!AN48,0)</f>
        <v>0</v>
      </c>
      <c r="AS48" s="984">
        <f>IF(예산실적비교표!AO48&lt;&gt;"",예산실적비교표!AO48,0)</f>
        <v>0</v>
      </c>
      <c r="AT48" s="971">
        <f t="shared" si="2"/>
        <v>0</v>
      </c>
      <c r="AU48" s="985">
        <f>IF(예산실적비교표!AQ48&lt;&gt;"",예산실적비교표!AQ48,0)</f>
        <v>0</v>
      </c>
      <c r="AV48" s="973">
        <f t="shared" si="5"/>
        <v>0</v>
      </c>
      <c r="AW48" s="974">
        <f>IF(AR48="","",ROUND((AT48*$AT$7)*데이터입력!$AE$14+(AT48*$AU$7)*데이터입력!$AE$14+(AT48*$AU$7*$AV$7)*데이터입력!$AE$14+(AT48*$AW$7)*데이터입력!$AE$14+(AT48*$AX$7)*데이터입력!$AE$14,-1))</f>
        <v>0</v>
      </c>
      <c r="AX48" s="975">
        <f t="shared" si="6"/>
        <v>0</v>
      </c>
      <c r="AY48" s="976">
        <f>IFERROR(IF($AE$2=TRUE,IF(AR48+AS48=0,0,AR48+AS48),ROUND(IF(데이터입력!$AE$14=100%,ROUND(AR48*$AR$1,-3),ROUND(AR48*$AR$1,-3)-ROUND(((AR48*$AR$1)*$AT$4)*(데이터입력!$AE$14-100%)+((AR48*$AR$1)*$AU$4)*(데이터입력!$AE$14-100%)+((AR48*$AR$1)*$AU$4*$AV$4)*(데이터입력!$AE$14-100%)+((AR48*$AR$1)*$AW$4)*(데이터입력!$AE$14-100%),-1)),0)),0)</f>
        <v>0</v>
      </c>
      <c r="AZ48" s="977">
        <f>IFERROR(IF(AR48+AS48=0,0,IF(데이터입력!$AE$12=100%,(AT48),(AT48)+ROUND(AT48*(데이터입력!$AE$12-100%),-1))),0)</f>
        <v>0</v>
      </c>
      <c r="BA48" s="1095" t="str">
        <f>IFERROR(IF(AZ48=0,"",IF(AND(예산실적비교표!AP48&gt;0,예산실적비교표!AW48=0),"",ROUND(AZ48/12,0))),0)</f>
        <v/>
      </c>
      <c r="BB48" s="1116" t="str">
        <f>IF(BA48="","",IF(데이터입력!$O$71="",ROUND(AZ48/12,0),ROUND(데이터입력!$O$71/데이터입력!$Y$8/$BC$11,0)))</f>
        <v/>
      </c>
      <c r="BC48" s="1126" t="s">
        <v>742</v>
      </c>
      <c r="BD48" s="1572"/>
      <c r="BE48" s="326" t="s">
        <v>753</v>
      </c>
      <c r="BF48" s="326" t="s">
        <v>753</v>
      </c>
      <c r="BG48" s="1196" t="s">
        <v>759</v>
      </c>
      <c r="BH48" s="1607"/>
      <c r="BI48" s="1608"/>
      <c r="BJ48" s="1606"/>
      <c r="BK48" s="1606"/>
      <c r="BL48" s="1606"/>
      <c r="BM48" s="1606"/>
      <c r="BN48" s="1606"/>
      <c r="BO48" s="1606"/>
      <c r="BP48" s="1606"/>
      <c r="BQ48" s="1606"/>
      <c r="BR48" s="1593"/>
    </row>
    <row r="49" spans="1:70" ht="18" customHeight="1" thickBot="1">
      <c r="A49" s="901" t="str">
        <f>IF($AM$1=TRUE,IF(K49="","",SUBTOTAL(2,$K$3:K49)),IF(AND(M49="",N49=""),"",IF(N49="",COUNT($M$3:M49),COUNT($N$3:N49)+200)))</f>
        <v/>
      </c>
      <c r="B49" s="303" t="s">
        <v>47</v>
      </c>
      <c r="C49" s="303" t="s">
        <v>535</v>
      </c>
      <c r="D49" s="302">
        <v>501010502</v>
      </c>
      <c r="E49" s="302" t="s">
        <v>83</v>
      </c>
      <c r="F49" s="302" t="s">
        <v>80</v>
      </c>
      <c r="G49" s="304">
        <f>IFERROR(IF($E49="06",VLOOKUP($B49,예산실적비교표!$O$7:$R$200,2,FALSE),0),0)</f>
        <v>0</v>
      </c>
      <c r="H49" s="304">
        <f>IFERROR(IF($E49="06",VLOOKUP($C49,세출예산서!$K$3:$X$307,12,FALSE),0),0)</f>
        <v>0</v>
      </c>
      <c r="I49" s="304">
        <f>IFERROR(IF($E49="07",VLOOKUP($C49,세출예산서!$K$3:$X$307,13,FALSE),0),0)</f>
        <v>0</v>
      </c>
      <c r="J49" s="304">
        <f>IFERROR(IF($E49="05",VLOOKUP($C49,세출예산서!$K$3:$X$307,14,FALSE),0),0)</f>
        <v>0</v>
      </c>
      <c r="K49" s="304" t="str">
        <f t="shared" si="11"/>
        <v/>
      </c>
      <c r="L49" s="305">
        <f>IFERROR(IF($AB$2="",0,ROUNDUP(VLOOKUP($B49,예산실적비교표!$O$7:$R$200,3,FALSE)/($Y$8-(12-$Y$9)),-2)*$Y$8),0)</f>
        <v>0</v>
      </c>
      <c r="M49" s="597" t="str">
        <f>IF($AM$1=TRUE,IF(K49="","",IF(IF($AE$2="",IF(K49="","",SUBTOTAL(2,$K$3:K49)),IF(AND(G49&gt;=0,K49=""),"",IF(AND(G49&gt;0,OR(K49&gt;0,K49&lt;0)),SUBTOTAL(2,$K$3:K49),IF(AND(G49=0,OR(K49&gt;0,K49&lt;0)),SUBTOTAL(2,$K$3:K49)+200,""))))&gt;200,"",1)),IF(K49="","",IF(IF($AE$2="",IF(K49="","",SUBTOTAL(2,$K$3:K49)),IF(AND(G49&gt;=0,K49=""),"",IF(AND(G49&gt;0,OR(K49&gt;0,K49&lt;0)),SUBTOTAL(2,$K$3:K49),IF(AND(G49=0,OR(K49&gt;0,K49&lt;0)),SUBTOTAL(2,$K$3:K49)+200,""))))&gt;200,"",1)))</f>
        <v/>
      </c>
      <c r="N49" s="161" t="str">
        <f>IF($AM$1=TRUE,IF(K49="","",IF(IF($AE$2="",IF(K49="","",SUBTOTAL(2,$K$3:K49)),IF(AND(G49&gt;=0,K49=""),"",IF(AND(G49&gt;0,OR(K49&gt;0,K49&lt;0)),SUBTOTAL(2,$K$3:K49),IF(AND(G49=0,OR(K49&gt;0,K49&lt;0)),SUBTOTAL(2,$K$3:K49)+200,""))))&lt;=200,"",2)),IF(K49="","",IF(IF($AE$2="",IF(K49="","",SUBTOTAL(2,$K$3:K49)),IF(AND(G49&gt;=0,K49=""),"",IF(AND(G49&gt;0,OR(K49&gt;0,K49&lt;0)),SUBTOTAL(2,$K$3:K49),IF(AND(G49=0,OR(K49&gt;0,K49&lt;0)),SUBTOTAL(2,$K$3:K49)+200,""))))&lt;=200,"",2)))</f>
        <v/>
      </c>
      <c r="O49" s="463"/>
      <c r="P49" s="364">
        <f>IFERROR(IF($AE$2="추경",IF(VLOOKUP(R49,$B$1:$L$28,11,FALSE)&gt;=VLOOKUP(R49,$B$1:$L$28,6,FALSE),ROUNDUP(VLOOKUP(R49,$B$1:$L$28,11,FALSE)/U49,-4)*U49,VLOOKUP(R49,$B$1:$L$28,6,FALSE)),IF(VLOOKUP(R49,$B$1:$L$28,11,FALSE)&gt;0,VLOOKUP(R49,$B$1:$L$28,11,FALSE),VLOOKUP(R49,예산평균!$B:$D,3,FALSE))),0)</f>
        <v>12000000</v>
      </c>
      <c r="Q49" s="487">
        <v>0</v>
      </c>
      <c r="R49" s="357" t="s">
        <v>29</v>
      </c>
      <c r="S49" s="302" t="s">
        <v>6</v>
      </c>
      <c r="T49" s="358">
        <f t="shared" si="12"/>
        <v>12000000</v>
      </c>
      <c r="U49" s="365">
        <f t="shared" si="10"/>
        <v>12</v>
      </c>
      <c r="V49" s="376" t="s">
        <v>126</v>
      </c>
      <c r="X49" s="556" t="str">
        <f>IF(예산실적비교표!A39="X","",예산실적비교표!A39)</f>
        <v/>
      </c>
      <c r="Y49" s="750">
        <f>IF($AB$2="",0,IF(X49="",0,예산실적비교표!B39))</f>
        <v>0</v>
      </c>
      <c r="Z49" s="556" t="str">
        <f>IF(예산실적비교표!C39="X","",예산실적비교표!C39)</f>
        <v/>
      </c>
      <c r="AA49" s="750">
        <f>IF($AB$2="",0,IF(Z49="",0,예산실적비교표!D39))</f>
        <v>0</v>
      </c>
      <c r="AB49" s="556" t="str">
        <f>IF(예산실적비교표!E39="X","",예산실적비교표!E39)</f>
        <v/>
      </c>
      <c r="AC49" s="750">
        <f>IF($AB$2="",0,IF(AB49="",0,예산실적비교표!F39))</f>
        <v>0</v>
      </c>
      <c r="AD49" s="556" t="str">
        <f>IF(예산실적비교표!G39="X","",예산실적비교표!G39)</f>
        <v/>
      </c>
      <c r="AE49" s="750">
        <f>IF($AB$2="",0,IF(AD49="",0,예산실적비교표!H39))</f>
        <v>0</v>
      </c>
      <c r="AF49" s="537">
        <f>IF($AF$43&lt;&gt;예산실적비교표!$B$3,$U$80,예산실적비교표!I39)</f>
        <v>12</v>
      </c>
      <c r="AH49" s="279" t="str">
        <f>세출예산서!L162</f>
        <v xml:space="preserve">  - 직원식대</v>
      </c>
      <c r="AI49" s="1346">
        <f>세출예산서!V162</f>
        <v>17400000</v>
      </c>
      <c r="AJ49" s="1347"/>
      <c r="AP49" s="981" t="str">
        <f>IF(예산실적비교표!AL49&lt;&gt;"",예산실적비교표!AL49,"")</f>
        <v/>
      </c>
      <c r="AQ49" s="982" t="str">
        <f>IF(예산실적비교표!AM49&lt;&gt;"",예산실적비교표!AM49,"")</f>
        <v/>
      </c>
      <c r="AR49" s="983">
        <f>IF(AND(예산실적비교표!AN49&lt;&gt;"",예산실적비교표!AN49&gt;1),예산실적비교표!AN49,0)</f>
        <v>0</v>
      </c>
      <c r="AS49" s="984">
        <f>IF(예산실적비교표!AO49&lt;&gt;"",예산실적비교표!AO49,0)</f>
        <v>0</v>
      </c>
      <c r="AT49" s="971">
        <f t="shared" si="2"/>
        <v>0</v>
      </c>
      <c r="AU49" s="985">
        <f>IF(예산실적비교표!AQ49&lt;&gt;"",예산실적비교표!AQ49,0)</f>
        <v>0</v>
      </c>
      <c r="AV49" s="973">
        <f t="shared" si="5"/>
        <v>0</v>
      </c>
      <c r="AW49" s="974">
        <f>IF(AR49="","",ROUND((AT49*$AT$7)*데이터입력!$AE$14+(AT49*$AU$7)*데이터입력!$AE$14+(AT49*$AU$7*$AV$7)*데이터입력!$AE$14+(AT49*$AW$7)*데이터입력!$AE$14+(AT49*$AX$7)*데이터입력!$AE$14,-1))</f>
        <v>0</v>
      </c>
      <c r="AX49" s="975">
        <f t="shared" si="6"/>
        <v>0</v>
      </c>
      <c r="AY49" s="976">
        <f>IFERROR(IF($AE$2=TRUE,IF(AR49+AS49=0,0,AR49+AS49),ROUND(IF(데이터입력!$AE$14=100%,ROUND(AR49*$AR$1,-3),ROUND(AR49*$AR$1,-3)-ROUND(((AR49*$AR$1)*$AT$4)*(데이터입력!$AE$14-100%)+((AR49*$AR$1)*$AU$4)*(데이터입력!$AE$14-100%)+((AR49*$AR$1)*$AU$4*$AV$4)*(데이터입력!$AE$14-100%)+((AR49*$AR$1)*$AW$4)*(데이터입력!$AE$14-100%),-1)),0)),0)</f>
        <v>0</v>
      </c>
      <c r="AZ49" s="977">
        <f>IFERROR(IF(AR49+AS49=0,0,IF(데이터입력!$AE$12=100%,(AT49),(AT49)+ROUND(AT49*(데이터입력!$AE$12-100%),-1))),0)</f>
        <v>0</v>
      </c>
      <c r="BA49" s="1095" t="str">
        <f>IFERROR(IF(AZ49=0,"",IF(AND(예산실적비교표!AP49&gt;0,예산실적비교표!AW49=0),"",ROUND(AZ49/12,0))),0)</f>
        <v/>
      </c>
      <c r="BB49" s="1116" t="str">
        <f>IF(BA49="","",IF(데이터입력!$O$71="",ROUND(AZ49/12,0),ROUND(데이터입력!$O$71/데이터입력!$Y$8/$BC$11,0)))</f>
        <v/>
      </c>
      <c r="BC49" s="1126" t="s">
        <v>743</v>
      </c>
      <c r="BD49" s="1124" t="s">
        <v>753</v>
      </c>
      <c r="BE49" s="1567" t="s">
        <v>757</v>
      </c>
      <c r="BF49" s="1568"/>
      <c r="BG49" s="1568"/>
      <c r="BH49" s="1583"/>
      <c r="BI49" s="1584"/>
      <c r="BJ49" s="1586"/>
      <c r="BK49" s="1202" t="s">
        <v>792</v>
      </c>
      <c r="BL49" s="1586"/>
      <c r="BM49" s="1586"/>
      <c r="BN49" s="1586"/>
      <c r="BO49" s="1586"/>
      <c r="BP49" s="1586"/>
      <c r="BQ49" s="1586"/>
      <c r="BR49" s="1588"/>
    </row>
    <row r="50" spans="1:70" ht="18" customHeight="1" thickBot="1">
      <c r="A50" s="901" t="str">
        <f>IF($AM$1=TRUE,IF(K50="","",SUBTOTAL(2,$K$3:K50)),IF(AND(M50="",N50=""),"",IF(N50="",COUNT($M$3:M50),COUNT($N$3:N50)+200)))</f>
        <v/>
      </c>
      <c r="B50" s="303" t="s">
        <v>48</v>
      </c>
      <c r="C50" s="303" t="s">
        <v>536</v>
      </c>
      <c r="D50" s="302">
        <v>501010601</v>
      </c>
      <c r="E50" s="302" t="s">
        <v>83</v>
      </c>
      <c r="F50" s="302" t="s">
        <v>80</v>
      </c>
      <c r="G50" s="304">
        <f>IFERROR(IF($E50="06",VLOOKUP($B50,예산실적비교표!$O$7:$R$200,2,FALSE),0),0)</f>
        <v>101683000</v>
      </c>
      <c r="H50" s="304">
        <f>IFERROR(IF($E50="06",VLOOKUP($C50,세출예산서!$K$3:$X$307,12,FALSE),0),0)</f>
        <v>0</v>
      </c>
      <c r="I50" s="304">
        <f>IFERROR(IF($E50="07",VLOOKUP($C50,세출예산서!$K$3:$X$307,13,FALSE),0),0)</f>
        <v>0</v>
      </c>
      <c r="J50" s="304">
        <f>IFERROR(IF($E50="05",VLOOKUP($C50,세출예산서!$K$3:$X$307,14,FALSE),0),0)</f>
        <v>0</v>
      </c>
      <c r="K50" s="304" t="str">
        <f t="shared" si="11"/>
        <v/>
      </c>
      <c r="L50" s="305">
        <f>IFERROR(IF($AB$2="",0,ROUNDUP(VLOOKUP($B50,예산실적비교표!$O$7:$R$200,3,FALSE)/($Y$8-(12-$Y$9)),-2)*$Y$8),0)</f>
        <v>101683200</v>
      </c>
      <c r="M50" s="597" t="str">
        <f>IF($AM$1=TRUE,IF(K50="","",IF(IF($AE$2="",IF(K50="","",SUBTOTAL(2,$K$3:K50)),IF(AND(G50&gt;=0,K50=""),"",IF(AND(G50&gt;0,OR(K50&gt;0,K50&lt;0)),SUBTOTAL(2,$K$3:K50),IF(AND(G50=0,OR(K50&gt;0,K50&lt;0)),SUBTOTAL(2,$K$3:K50)+200,""))))&gt;200,"",1)),IF(K50="","",IF(IF($AE$2="",IF(K50="","",SUBTOTAL(2,$K$3:K50)),IF(AND(G50&gt;=0,K50=""),"",IF(AND(G50&gt;0,OR(K50&gt;0,K50&lt;0)),SUBTOTAL(2,$K$3:K50),IF(AND(G50=0,OR(K50&gt;0,K50&lt;0)),SUBTOTAL(2,$K$3:K50)+200,""))))&gt;200,"",1)))</f>
        <v/>
      </c>
      <c r="N50" s="161" t="str">
        <f>IF($AM$1=TRUE,IF(K50="","",IF(IF($AE$2="",IF(K50="","",SUBTOTAL(2,$K$3:K50)),IF(AND(G50&gt;=0,K50=""),"",IF(AND(G50&gt;0,OR(K50&gt;0,K50&lt;0)),SUBTOTAL(2,$K$3:K50),IF(AND(G50=0,OR(K50&gt;0,K50&lt;0)),SUBTOTAL(2,$K$3:K50)+200,""))))&lt;=200,"",2)),IF(K50="","",IF(IF($AE$2="",IF(K50="","",SUBTOTAL(2,$K$3:K50)),IF(AND(G50&gt;=0,K50=""),"",IF(AND(G50&gt;0,OR(K50&gt;0,K50&lt;0)),SUBTOTAL(2,$K$3:K50),IF(AND(G50=0,OR(K50&gt;0,K50&lt;0)),SUBTOTAL(2,$K$3:K50)+200,""))))&lt;=200,"",2)))</f>
        <v/>
      </c>
      <c r="O50" s="463"/>
      <c r="P50" s="364">
        <f>IFERROR(IF(VLOOKUP(R50,$B$1:$L$28,11,FALSE)&gt;0,ROUNDUP(VLOOKUP(R50,$B$1:$L$28,11,FALSE),0),0),0)</f>
        <v>75336977</v>
      </c>
      <c r="Q50" s="475"/>
      <c r="R50" s="357" t="s">
        <v>31</v>
      </c>
      <c r="S50" s="302" t="s">
        <v>6</v>
      </c>
      <c r="T50" s="358">
        <f t="shared" si="12"/>
        <v>75336977</v>
      </c>
      <c r="U50" s="365">
        <v>1</v>
      </c>
      <c r="V50" s="360" t="s">
        <v>126</v>
      </c>
      <c r="X50" s="377" t="s">
        <v>171</v>
      </c>
      <c r="Y50" s="752">
        <f>SUM(Y51:Y60)</f>
        <v>369000</v>
      </c>
      <c r="Z50" s="366" t="s">
        <v>184</v>
      </c>
      <c r="AA50" s="366" t="s">
        <v>214</v>
      </c>
      <c r="AB50" s="345" t="s">
        <v>185</v>
      </c>
      <c r="AC50" s="752">
        <f>ROUND(세출예산서!$Z$175/$U$84,-3)</f>
        <v>1350000</v>
      </c>
      <c r="AD50" s="345" t="s">
        <v>130</v>
      </c>
      <c r="AE50" s="752">
        <f>ROUND(세출예산서!Z209/$U$87,-3)</f>
        <v>2000000</v>
      </c>
      <c r="AF50" s="366" t="s">
        <v>214</v>
      </c>
      <c r="AH50" s="279" t="str">
        <f>세출예산서!L163</f>
        <v xml:space="preserve">  - </v>
      </c>
      <c r="AI50" s="1346">
        <f>세출예산서!V163</f>
        <v>0</v>
      </c>
      <c r="AJ50" s="1347"/>
      <c r="AP50" s="981" t="str">
        <f>IF(예산실적비교표!AL50&lt;&gt;"",예산실적비교표!AL50,"")</f>
        <v/>
      </c>
      <c r="AQ50" s="982" t="str">
        <f>IF(예산실적비교표!AM50&lt;&gt;"",예산실적비교표!AM50,"")</f>
        <v/>
      </c>
      <c r="AR50" s="983">
        <f>IF(AND(예산실적비교표!AN50&lt;&gt;"",예산실적비교표!AN50&gt;1),예산실적비교표!AN50,0)</f>
        <v>0</v>
      </c>
      <c r="AS50" s="984">
        <f>IF(예산실적비교표!AO50&lt;&gt;"",예산실적비교표!AO50,0)</f>
        <v>0</v>
      </c>
      <c r="AT50" s="971">
        <f t="shared" si="2"/>
        <v>0</v>
      </c>
      <c r="AU50" s="985">
        <f>IF(예산실적비교표!AQ50&lt;&gt;"",예산실적비교표!AQ50,0)</f>
        <v>0</v>
      </c>
      <c r="AV50" s="973">
        <f t="shared" si="5"/>
        <v>0</v>
      </c>
      <c r="AW50" s="974">
        <f>IF(AR50="","",ROUND((AT50*$AT$7)*데이터입력!$AE$14+(AT50*$AU$7)*데이터입력!$AE$14+(AT50*$AU$7*$AV$7)*데이터입력!$AE$14+(AT50*$AW$7)*데이터입력!$AE$14+(AT50*$AX$7)*데이터입력!$AE$14,-1))</f>
        <v>0</v>
      </c>
      <c r="AX50" s="975">
        <f t="shared" si="6"/>
        <v>0</v>
      </c>
      <c r="AY50" s="976">
        <f>IFERROR(IF($AE$2=TRUE,IF(AR50+AS50=0,0,AR50+AS50),ROUND(IF(데이터입력!$AE$14=100%,ROUND(AR50*$AR$1,-3),ROUND(AR50*$AR$1,-3)-ROUND(((AR50*$AR$1)*$AT$4)*(데이터입력!$AE$14-100%)+((AR50*$AR$1)*$AU$4)*(데이터입력!$AE$14-100%)+((AR50*$AR$1)*$AU$4*$AV$4)*(데이터입력!$AE$14-100%)+((AR50*$AR$1)*$AW$4)*(데이터입력!$AE$14-100%),-1)),0)),0)</f>
        <v>0</v>
      </c>
      <c r="AZ50" s="977">
        <f>IFERROR(IF(AR50+AS50=0,0,IF(데이터입력!$AE$12=100%,(AT50),(AT50)+ROUND(AT50*(데이터입력!$AE$12-100%),-1))),0)</f>
        <v>0</v>
      </c>
      <c r="BA50" s="1095" t="str">
        <f>IFERROR(IF(AZ50=0,"",IF(AND(예산실적비교표!AP50&gt;0,예산실적비교표!AW50=0),"",ROUND(AZ50/12,0))),0)</f>
        <v/>
      </c>
      <c r="BB50" s="1116" t="str">
        <f>IF(BA50="","",IF(데이터입력!$O$71="",ROUND(AZ50/12,0),ROUND(데이터입력!$O$71/데이터입력!$Y$8/$BC$11,0)))</f>
        <v/>
      </c>
      <c r="BC50" s="1117" t="s">
        <v>737</v>
      </c>
      <c r="BD50" s="1119" t="s">
        <v>755</v>
      </c>
      <c r="BE50" s="326" t="s">
        <v>753</v>
      </c>
      <c r="BF50" s="326" t="s">
        <v>753</v>
      </c>
      <c r="BG50" s="1196" t="s">
        <v>759</v>
      </c>
      <c r="BH50" s="1594" t="s">
        <v>225</v>
      </c>
      <c r="BI50" s="1595"/>
      <c r="BJ50" s="1203" t="s">
        <v>752</v>
      </c>
      <c r="BK50" s="1203"/>
      <c r="BL50" s="1203"/>
      <c r="BM50" s="1203"/>
      <c r="BN50" s="1203"/>
      <c r="BO50" s="1203" t="s">
        <v>785</v>
      </c>
      <c r="BP50" s="1203"/>
      <c r="BQ50" s="1203"/>
      <c r="BR50" s="1204"/>
    </row>
    <row r="51" spans="1:70" ht="18" customHeight="1">
      <c r="A51" s="901" t="str">
        <f>IF($AM$1=TRUE,IF(K51="","",SUBTOTAL(2,$K$3:K51)),IF(AND(M51="",N51=""),"",IF(N51="",COUNT($M$3:M51),COUNT($N$3:N51)+200)))</f>
        <v/>
      </c>
      <c r="B51" s="303" t="s">
        <v>49</v>
      </c>
      <c r="C51" s="303" t="s">
        <v>537</v>
      </c>
      <c r="D51" s="302">
        <v>501010602</v>
      </c>
      <c r="E51" s="302" t="s">
        <v>83</v>
      </c>
      <c r="F51" s="302" t="s">
        <v>80</v>
      </c>
      <c r="G51" s="304">
        <f>IFERROR(IF($E51="06",VLOOKUP($B51,예산실적비교표!$O$7:$R$200,2,FALSE),0),0)</f>
        <v>8664000</v>
      </c>
      <c r="H51" s="304">
        <f>IFERROR(IF($E51="06",VLOOKUP($C51,세출예산서!$K$3:$X$307,12,FALSE),0),0)</f>
        <v>0</v>
      </c>
      <c r="I51" s="304">
        <f>IFERROR(IF($E51="07",VLOOKUP($C51,세출예산서!$K$3:$X$307,13,FALSE),0),0)</f>
        <v>0</v>
      </c>
      <c r="J51" s="304">
        <f>IFERROR(IF($E51="05",VLOOKUP($C51,세출예산서!$K$3:$X$307,14,FALSE),0),0)</f>
        <v>0</v>
      </c>
      <c r="K51" s="304" t="str">
        <f t="shared" si="11"/>
        <v/>
      </c>
      <c r="L51" s="305">
        <f>IFERROR(IF($AB$2="",0,ROUNDUP(VLOOKUP($B51,예산실적비교표!$O$7:$R$200,3,FALSE)/($Y$8-(12-$Y$9)),-2)*$Y$8),0)</f>
        <v>8664000</v>
      </c>
      <c r="M51" s="597" t="str">
        <f>IF($AM$1=TRUE,IF(K51="","",IF(IF($AE$2="",IF(K51="","",SUBTOTAL(2,$K$3:K51)),IF(AND(G51&gt;=0,K51=""),"",IF(AND(G51&gt;0,OR(K51&gt;0,K51&lt;0)),SUBTOTAL(2,$K$3:K51),IF(AND(G51=0,OR(K51&gt;0,K51&lt;0)),SUBTOTAL(2,$K$3:K51)+200,""))))&gt;200,"",1)),IF(K51="","",IF(IF($AE$2="",IF(K51="","",SUBTOTAL(2,$K$3:K51)),IF(AND(G51&gt;=0,K51=""),"",IF(AND(G51&gt;0,OR(K51&gt;0,K51&lt;0)),SUBTOTAL(2,$K$3:K51),IF(AND(G51=0,OR(K51&gt;0,K51&lt;0)),SUBTOTAL(2,$K$3:K51)+200,""))))&gt;200,"",1)))</f>
        <v/>
      </c>
      <c r="N51" s="161" t="str">
        <f>IF($AM$1=TRUE,IF(K51="","",IF(IF($AE$2="",IF(K51="","",SUBTOTAL(2,$K$3:K51)),IF(AND(G51&gt;=0,K51=""),"",IF(AND(G51&gt;0,OR(K51&gt;0,K51&lt;0)),SUBTOTAL(2,$K$3:K51),IF(AND(G51=0,OR(K51&gt;0,K51&lt;0)),SUBTOTAL(2,$K$3:K51)+200,""))))&lt;=200,"",2)),IF(K51="","",IF(IF($AE$2="",IF(K51="","",SUBTOTAL(2,$K$3:K51)),IF(AND(G51&gt;=0,K51=""),"",IF(AND(G51&gt;0,OR(K51&gt;0,K51&lt;0)),SUBTOTAL(2,$K$3:K51),IF(AND(G51=0,OR(K51&gt;0,K51&lt;0)),SUBTOTAL(2,$K$3:K51)+200,""))))&lt;=200,"",2)))</f>
        <v/>
      </c>
      <c r="O51" s="463"/>
      <c r="P51" s="364">
        <f>IFERROR(IF(VLOOKUP(R51,$B$1:$L$28,11,FALSE)&gt;0,VLOOKUP(R51,$B$1:$L$28,11,FALSE),0),0)</f>
        <v>46555502</v>
      </c>
      <c r="Q51" s="475"/>
      <c r="R51" s="357" t="s">
        <v>33</v>
      </c>
      <c r="S51" s="302" t="s">
        <v>6</v>
      </c>
      <c r="T51" s="358">
        <f t="shared" si="12"/>
        <v>46555502</v>
      </c>
      <c r="U51" s="365">
        <v>1</v>
      </c>
      <c r="V51" s="376" t="s">
        <v>126</v>
      </c>
      <c r="X51" s="911" t="str">
        <f>IF(예산실적비교표!A41="X","",예산실적비교표!A41)</f>
        <v>기타운영비</v>
      </c>
      <c r="Y51" s="747">
        <f>ROUND((AI43-SUM(AI45:AJ53))/AA51,-3)</f>
        <v>69000</v>
      </c>
      <c r="Z51" s="912" t="str">
        <f>IF(예산실적비교표!C41="X","",예산실적비교표!C41)</f>
        <v/>
      </c>
      <c r="AA51" s="537">
        <f>IF($Y$8&lt;&gt;예산실적비교표!$B$3,$Y$8,예산실적비교표!D41)</f>
        <v>12</v>
      </c>
      <c r="AB51" s="911" t="str">
        <f>IF(예산실적비교표!E41="X","",예산실적비교표!E41)</f>
        <v>비품구입비</v>
      </c>
      <c r="AC51" s="756">
        <f>AC50-SUM(AC52:AC60)</f>
        <v>1350000</v>
      </c>
      <c r="AD51" s="911" t="str">
        <f>IF(예산실적비교표!G41="X","",예산실적비교표!G41)</f>
        <v>기저귀 등</v>
      </c>
      <c r="AE51" s="756">
        <f>AE50-SUM(AE52:AE60)</f>
        <v>1200000</v>
      </c>
      <c r="AF51" s="537">
        <f>IF($Y$8&lt;&gt;예산실적비교표!$B$3,$U$87,예산실적비교표!I41)</f>
        <v>12</v>
      </c>
      <c r="AH51" s="279" t="str">
        <f>세출예산서!L164</f>
        <v xml:space="preserve">  - </v>
      </c>
      <c r="AI51" s="1346">
        <f>세출예산서!V164</f>
        <v>0</v>
      </c>
      <c r="AJ51" s="1347"/>
      <c r="AL51" s="904" t="s">
        <v>697</v>
      </c>
      <c r="AM51" s="904" t="s">
        <v>698</v>
      </c>
      <c r="AN51" s="904" t="s">
        <v>699</v>
      </c>
      <c r="AP51" s="981" t="str">
        <f>IF(예산실적비교표!AL51&lt;&gt;"",예산실적비교표!AL51,"")</f>
        <v/>
      </c>
      <c r="AQ51" s="982" t="str">
        <f>IF(예산실적비교표!AM51&lt;&gt;"",예산실적비교표!AM51,"")</f>
        <v/>
      </c>
      <c r="AR51" s="983">
        <f>IF(AND(예산실적비교표!AN51&lt;&gt;"",예산실적비교표!AN51&gt;1),예산실적비교표!AN51,0)</f>
        <v>0</v>
      </c>
      <c r="AS51" s="984">
        <f>IF(예산실적비교표!AO51&lt;&gt;"",예산실적비교표!AO51,0)</f>
        <v>0</v>
      </c>
      <c r="AT51" s="971">
        <f t="shared" si="2"/>
        <v>0</v>
      </c>
      <c r="AU51" s="985">
        <f>IF(예산실적비교표!AQ51&lt;&gt;"",예산실적비교표!AQ51,0)</f>
        <v>0</v>
      </c>
      <c r="AV51" s="973">
        <f t="shared" si="5"/>
        <v>0</v>
      </c>
      <c r="AW51" s="974">
        <f>IF(AR51="","",ROUND((AT51*$AT$7)*데이터입력!$AE$14+(AT51*$AU$7)*데이터입력!$AE$14+(AT51*$AU$7*$AV$7)*데이터입력!$AE$14+(AT51*$AW$7)*데이터입력!$AE$14+(AT51*$AX$7)*데이터입력!$AE$14,-1))</f>
        <v>0</v>
      </c>
      <c r="AX51" s="975">
        <f t="shared" si="6"/>
        <v>0</v>
      </c>
      <c r="AY51" s="976">
        <f>IFERROR(IF($AE$2=TRUE,IF(AR51+AS51=0,0,AR51+AS51),ROUND(IF(데이터입력!$AE$14=100%,ROUND(AR51*$AR$1,-3),ROUND(AR51*$AR$1,-3)-ROUND(((AR51*$AR$1)*$AT$4)*(데이터입력!$AE$14-100%)+((AR51*$AR$1)*$AU$4)*(데이터입력!$AE$14-100%)+((AR51*$AR$1)*$AU$4*$AV$4)*(데이터입력!$AE$14-100%)+((AR51*$AR$1)*$AW$4)*(데이터입력!$AE$14-100%),-1)),0)),0)</f>
        <v>0</v>
      </c>
      <c r="AZ51" s="977">
        <f>IFERROR(IF(AR51+AS51=0,0,IF(데이터입력!$AE$12=100%,(AT51),(AT51)+ROUND(AT51*(데이터입력!$AE$12-100%),-1))),0)</f>
        <v>0</v>
      </c>
      <c r="BA51" s="1095" t="str">
        <f>IFERROR(IF(AZ51=0,"",IF(AND(예산실적비교표!AP51&gt;0,예산실적비교표!AW51=0),"",ROUND(AZ51/12,0))),0)</f>
        <v/>
      </c>
      <c r="BB51" s="1116" t="str">
        <f>IF(BA51="","",IF(데이터입력!$O$71="",ROUND(AZ51/12,0),ROUND(데이터입력!$O$71/데이터입력!$Y$8/$BC$11,0)))</f>
        <v/>
      </c>
      <c r="BC51" s="1126" t="s">
        <v>739</v>
      </c>
      <c r="BD51" s="1569" t="s">
        <v>760</v>
      </c>
      <c r="BE51" s="1570"/>
      <c r="BF51" s="1570"/>
      <c r="BG51" s="1570"/>
      <c r="BH51" s="1603" t="s">
        <v>790</v>
      </c>
      <c r="BI51" s="1596" t="s">
        <v>801</v>
      </c>
      <c r="BJ51" s="1596" t="s">
        <v>752</v>
      </c>
      <c r="BK51" s="1585" t="s">
        <v>752</v>
      </c>
      <c r="BL51" s="1585" t="s">
        <v>752</v>
      </c>
      <c r="BM51" s="1585" t="s">
        <v>752</v>
      </c>
      <c r="BN51" s="1596"/>
      <c r="BO51" s="1596" t="s">
        <v>799</v>
      </c>
      <c r="BP51" s="1585" t="s">
        <v>752</v>
      </c>
      <c r="BQ51" s="1596" t="s">
        <v>752</v>
      </c>
      <c r="BR51" s="1599" t="s">
        <v>752</v>
      </c>
    </row>
    <row r="52" spans="1:70" ht="18" customHeight="1">
      <c r="A52" s="901">
        <f>IF($AM$1=TRUE,IF(K52="","",SUBTOTAL(2,$K$3:K52)),IF(AND(M52="",N52=""),"",IF(N52="",COUNT($M$3:M52),COUNT($N$3:N52)+200)))</f>
        <v>13</v>
      </c>
      <c r="B52" s="303" t="s">
        <v>50</v>
      </c>
      <c r="C52" s="303" t="s">
        <v>538</v>
      </c>
      <c r="D52" s="302">
        <v>501020101</v>
      </c>
      <c r="E52" s="302" t="s">
        <v>83</v>
      </c>
      <c r="F52" s="302" t="s">
        <v>80</v>
      </c>
      <c r="G52" s="304">
        <f>IFERROR(IF($E52="06",VLOOKUP($B52,예산실적비교표!$O$7:$R$200,2,FALSE),0),0)</f>
        <v>6000000</v>
      </c>
      <c r="H52" s="304">
        <f>IFERROR(IF($E52="06",VLOOKUP($C52,세출예산서!$K$3:$X$307,12,FALSE),0),0)</f>
        <v>6000000</v>
      </c>
      <c r="I52" s="304">
        <f>IFERROR(IF($E52="07",VLOOKUP($C52,세출예산서!$K$3:$X$307,13,FALSE),0),0)</f>
        <v>0</v>
      </c>
      <c r="J52" s="304">
        <f>IFERROR(IF($E52="05",VLOOKUP($C52,세출예산서!$K$3:$X$307,14,FALSE),0),0)</f>
        <v>0</v>
      </c>
      <c r="K52" s="304">
        <f t="shared" si="11"/>
        <v>0</v>
      </c>
      <c r="L52" s="305">
        <f>IFERROR(IF($AB$2="",0,ROUNDUP(VLOOKUP($B52,예산실적비교표!$O$7:$R$200,3,FALSE)*$Y$7/($Y$8-(12-$Y$9)),-2)*$Y$8),0)</f>
        <v>6000000</v>
      </c>
      <c r="M52" s="597">
        <f>IF($AM$1=TRUE,IF(K52="","",IF(IF($AE$2="",IF(K52="","",SUBTOTAL(2,$K$3:K52)),IF(AND(G52&gt;=0,K52=""),"",IF(AND(G52&gt;0,OR(K52&gt;0,K52&lt;0)),SUBTOTAL(2,$K$3:K52),IF(AND(G52=0,OR(K52&gt;0,K52&lt;0)),SUBTOTAL(2,$K$3:K52)+200,""))))&gt;200,"",1)),IF(K52="","",IF(IF($AE$2="",IF(K52="","",SUBTOTAL(2,$K$3:K52)),IF(AND(G52&gt;=0,K52=""),"",IF(AND(G52&gt;0,OR(K52&gt;0,K52&lt;0)),SUBTOTAL(2,$K$3:K52),IF(AND(G52=0,OR(K52&gt;0,K52&lt;0)),SUBTOTAL(2,$K$3:K52)+200,""))))&gt;200,"",1)))</f>
        <v>1</v>
      </c>
      <c r="N52" s="161" t="str">
        <f>IF($AM$1=TRUE,IF(K52="","",IF(IF($AE$2="",IF(K52="","",SUBTOTAL(2,$K$3:K52)),IF(AND(G52&gt;=0,K52=""),"",IF(AND(G52&gt;0,OR(K52&gt;0,K52&lt;0)),SUBTOTAL(2,$K$3:K52),IF(AND(G52=0,OR(K52&gt;0,K52&lt;0)),SUBTOTAL(2,$K$3:K52)+200,""))))&lt;=200,"",2)),IF(K52="","",IF(IF($AE$2="",IF(K52="","",SUBTOTAL(2,$K$3:K52)),IF(AND(G52&gt;=0,K52=""),"",IF(AND(G52&gt;0,OR(K52&gt;0,K52&lt;0)),SUBTOTAL(2,$K$3:K52),IF(AND(G52=0,OR(K52&gt;0,K52&lt;0)),SUBTOTAL(2,$K$3:K52)+200,""))))&lt;=200,"",2)))</f>
        <v/>
      </c>
      <c r="O52" s="463"/>
      <c r="P52" s="364">
        <f>IFERROR(IF($AE$2="추경",IF(VLOOKUP(R52,$B$1:$L$28,11,FALSE)&gt;=VLOOKUP(R52,$B$1:$L$28,6,FALSE),ROUNDUP(VLOOKUP(R52,$B$1:$L$28,11,FALSE)/U52,-3)*U52,VLOOKUP(R52,$B$1:$L$28,6,FALSE)),IF(VLOOKUP(R52,$B$1:$L$28,11,FALSE)&gt;0,VLOOKUP(R52,$B$1:$L$28,11,FALSE),VLOOKUP(R52,예산평균!$B:$D,3,FALSE))),0)</f>
        <v>0</v>
      </c>
      <c r="Q52" s="475"/>
      <c r="R52" s="357" t="s">
        <v>34</v>
      </c>
      <c r="S52" s="302" t="s">
        <v>80</v>
      </c>
      <c r="T52" s="358">
        <f t="shared" si="12"/>
        <v>0</v>
      </c>
      <c r="U52" s="365">
        <f>IF(Q52=0,$Y$8,Q52)</f>
        <v>12</v>
      </c>
      <c r="V52" s="360" t="s">
        <v>126</v>
      </c>
      <c r="X52" s="556" t="str">
        <f>IF(예산실적비교표!A42="X","",예산실적비교표!A42)</f>
        <v>직원상여금</v>
      </c>
      <c r="Y52" s="750">
        <f>IF($AB$2="",0,IF(X52="",0,예산실적비교표!B42))</f>
        <v>50000</v>
      </c>
      <c r="Z52" s="912">
        <f>IF(예산실적비교표!C42="X","",$Y$27+$Y$28)</f>
        <v>29</v>
      </c>
      <c r="AA52" s="537">
        <f>IF($AA$51&lt;&gt;예산실적비교표!$B$3,$Y$8,예산실적비교표!D42)</f>
        <v>1</v>
      </c>
      <c r="AB52" s="556" t="str">
        <f>IF(예산실적비교표!E42="X","",예산실적비교표!E42)</f>
        <v/>
      </c>
      <c r="AC52" s="750">
        <f>IF($AB$2="",0,IF(AB52="",0,예산실적비교표!F42))</f>
        <v>0</v>
      </c>
      <c r="AD52" s="556" t="str">
        <f>IF(예산실적비교표!G42="X","",예산실적비교표!G42)</f>
        <v>욕실용품 등</v>
      </c>
      <c r="AE52" s="750">
        <f>IF($AB$2="",0,IF(AD52="",0,IF(예산실적비교표!H42=0,ROUND($AE$50*20%,-3),예산실적비교표!H42)))</f>
        <v>400000</v>
      </c>
      <c r="AF52" s="537">
        <f>IF($AF$51&lt;&gt;예산실적비교표!$B$3,$U$87,예산실적비교표!I42)</f>
        <v>12</v>
      </c>
      <c r="AH52" s="279" t="str">
        <f>세출예산서!L165</f>
        <v xml:space="preserve">  - </v>
      </c>
      <c r="AI52" s="1346">
        <f>세출예산서!V165</f>
        <v>0</v>
      </c>
      <c r="AJ52" s="1347"/>
      <c r="AL52" s="904" t="s">
        <v>700</v>
      </c>
      <c r="AM52" s="904" t="s">
        <v>700</v>
      </c>
      <c r="AN52" s="904" t="s">
        <v>700</v>
      </c>
      <c r="AP52" s="981" t="str">
        <f>IF(예산실적비교표!AL52&lt;&gt;"",예산실적비교표!AL52,"")</f>
        <v/>
      </c>
      <c r="AQ52" s="982" t="str">
        <f>IF(예산실적비교표!AM52&lt;&gt;"",예산실적비교표!AM52,"")</f>
        <v/>
      </c>
      <c r="AR52" s="983">
        <f>IF(AND(예산실적비교표!AN52&lt;&gt;"",예산실적비교표!AN52&gt;1),예산실적비교표!AN52,0)</f>
        <v>0</v>
      </c>
      <c r="AS52" s="984">
        <f>IF(예산실적비교표!AO52&lt;&gt;"",예산실적비교표!AO52,0)</f>
        <v>0</v>
      </c>
      <c r="AT52" s="971">
        <f t="shared" si="2"/>
        <v>0</v>
      </c>
      <c r="AU52" s="985">
        <f>IF(예산실적비교표!AQ52&lt;&gt;"",예산실적비교표!AQ52,0)</f>
        <v>0</v>
      </c>
      <c r="AV52" s="973">
        <f t="shared" si="5"/>
        <v>0</v>
      </c>
      <c r="AW52" s="974">
        <f>IF(AR52="","",ROUND((AT52*$AT$7)*데이터입력!$AE$14+(AT52*$AU$7)*데이터입력!$AE$14+(AT52*$AU$7*$AV$7)*데이터입력!$AE$14+(AT52*$AW$7)*데이터입력!$AE$14+(AT52*$AX$7)*데이터입력!$AE$14,-1))</f>
        <v>0</v>
      </c>
      <c r="AX52" s="975">
        <f t="shared" si="6"/>
        <v>0</v>
      </c>
      <c r="AY52" s="976">
        <f>IFERROR(IF($AE$2=TRUE,IF(AR52+AS52=0,0,AR52+AS52),ROUND(IF(데이터입력!$AE$14=100%,ROUND(AR52*$AR$1,-3),ROUND(AR52*$AR$1,-3)-ROUND(((AR52*$AR$1)*$AT$4)*(데이터입력!$AE$14-100%)+((AR52*$AR$1)*$AU$4)*(데이터입력!$AE$14-100%)+((AR52*$AR$1)*$AU$4*$AV$4)*(데이터입력!$AE$14-100%)+((AR52*$AR$1)*$AW$4)*(데이터입력!$AE$14-100%),-1)),0)),0)</f>
        <v>0</v>
      </c>
      <c r="AZ52" s="977">
        <f>IFERROR(IF(AR52+AS52=0,0,IF(데이터입력!$AE$12=100%,(AT52),(AT52)+ROUND(AT52*(데이터입력!$AE$12-100%),-1))),0)</f>
        <v>0</v>
      </c>
      <c r="BA52" s="1095" t="str">
        <f>IFERROR(IF(AZ52=0,"",IF(AND(예산실적비교표!AP52&gt;0,예산실적비교표!AW52=0),"",ROUND(AZ52/12,0))),0)</f>
        <v/>
      </c>
      <c r="BB52" s="1116" t="str">
        <f>IF(BA52="","",IF(데이터입력!$O$71="",ROUND(AZ52/12,0),ROUND(데이터입력!$O$71/데이터입력!$Y$8/$BC$11,0)))</f>
        <v/>
      </c>
      <c r="BC52" s="1117" t="s">
        <v>744</v>
      </c>
      <c r="BD52" s="1119" t="s">
        <v>755</v>
      </c>
      <c r="BE52" s="326" t="s">
        <v>755</v>
      </c>
      <c r="BF52" s="326" t="s">
        <v>753</v>
      </c>
      <c r="BG52" s="1196" t="s">
        <v>752</v>
      </c>
      <c r="BH52" s="1604"/>
      <c r="BI52" s="1597"/>
      <c r="BJ52" s="1597"/>
      <c r="BK52" s="1606"/>
      <c r="BL52" s="1606"/>
      <c r="BM52" s="1606"/>
      <c r="BN52" s="1597"/>
      <c r="BO52" s="1597"/>
      <c r="BP52" s="1606"/>
      <c r="BQ52" s="1597"/>
      <c r="BR52" s="1600"/>
    </row>
    <row r="53" spans="1:70" ht="18" customHeight="1" thickBot="1">
      <c r="A53" s="901">
        <f>IF($AM$1=TRUE,IF(K53="","",SUBTOTAL(2,$K$3:K53)),IF(AND(M53="",N53=""),"",IF(N53="",COUNT($M$3:M53),COUNT($N$3:N53)+200)))</f>
        <v>14</v>
      </c>
      <c r="B53" s="303" t="s">
        <v>51</v>
      </c>
      <c r="C53" s="303" t="s">
        <v>539</v>
      </c>
      <c r="D53" s="302">
        <v>501020201</v>
      </c>
      <c r="E53" s="302" t="s">
        <v>83</v>
      </c>
      <c r="F53" s="302" t="s">
        <v>80</v>
      </c>
      <c r="G53" s="304">
        <f>IFERROR(IF($E53="06",VLOOKUP($B53,예산실적비교표!$O$7:$R$200,2,FALSE),0),0)</f>
        <v>12000000</v>
      </c>
      <c r="H53" s="304">
        <f>IFERROR(IF($E53="06",VLOOKUP($C53,세출예산서!$K$3:$X$307,12,FALSE),0),0)</f>
        <v>12000000</v>
      </c>
      <c r="I53" s="304">
        <f>IFERROR(IF($E53="07",VLOOKUP($C53,세출예산서!$K$3:$X$307,13,FALSE),0),0)</f>
        <v>0</v>
      </c>
      <c r="J53" s="304">
        <f>IFERROR(IF($E53="05",VLOOKUP($C53,세출예산서!$K$3:$X$307,14,FALSE),0),0)</f>
        <v>0</v>
      </c>
      <c r="K53" s="304">
        <f t="shared" si="11"/>
        <v>0</v>
      </c>
      <c r="L53" s="305">
        <f>IFERROR(IF($AB$2="",0,ROUNDUP(VLOOKUP($B53,예산실적비교표!$O$7:$R$200,3,FALSE)*$Y$7/($Y$8-(12-$Y$9)),-2)*$Y$8),0)</f>
        <v>12000000</v>
      </c>
      <c r="M53" s="597">
        <f>IF($AM$1=TRUE,IF(K53="","",IF(IF($AE$2="",IF(K53="","",SUBTOTAL(2,$K$3:K53)),IF(AND(G53&gt;=0,K53=""),"",IF(AND(G53&gt;0,OR(K53&gt;0,K53&lt;0)),SUBTOTAL(2,$K$3:K53),IF(AND(G53=0,OR(K53&gt;0,K53&lt;0)),SUBTOTAL(2,$K$3:K53)+200,""))))&gt;200,"",1)),IF(K53="","",IF(IF($AE$2="",IF(K53="","",SUBTOTAL(2,$K$3:K53)),IF(AND(G53&gt;=0,K53=""),"",IF(AND(G53&gt;0,OR(K53&gt;0,K53&lt;0)),SUBTOTAL(2,$K$3:K53),IF(AND(G53=0,OR(K53&gt;0,K53&lt;0)),SUBTOTAL(2,$K$3:K53)+200,""))))&gt;200,"",1)))</f>
        <v>1</v>
      </c>
      <c r="N53" s="161" t="str">
        <f>IF($AM$1=TRUE,IF(K53="","",IF(IF($AE$2="",IF(K53="","",SUBTOTAL(2,$K$3:K53)),IF(AND(G53&gt;=0,K53=""),"",IF(AND(G53&gt;0,OR(K53&gt;0,K53&lt;0)),SUBTOTAL(2,$K$3:K53),IF(AND(G53=0,OR(K53&gt;0,K53&lt;0)),SUBTOTAL(2,$K$3:K53)+200,""))))&lt;=200,"",2)),IF(K53="","",IF(IF($AE$2="",IF(K53="","",SUBTOTAL(2,$K$3:K53)),IF(AND(G53&gt;=0,K53=""),"",IF(AND(G53&gt;0,OR(K53&gt;0,K53&lt;0)),SUBTOTAL(2,$K$3:K53),IF(AND(G53=0,OR(K53&gt;0,K53&lt;0)),SUBTOTAL(2,$K$3:K53)+200,""))))&lt;=200,"",2)))</f>
        <v/>
      </c>
      <c r="O53" s="463"/>
      <c r="P53" s="364">
        <f>IFERROR(IF($AE$2="추경",IF(VLOOKUP(R53,$B$1:$L$28,11,FALSE)&gt;=VLOOKUP(R53,$B$1:$L$28,6,FALSE),ROUNDUP(VLOOKUP(R53,$B$1:$L$28,11,FALSE)/U53,-3)*U53,VLOOKUP(R53,$B$1:$L$28,6,FALSE)),IF(VLOOKUP(R53,$B$1:$L$28,11,FALSE)&gt;0,VLOOKUP(R53,$B$1:$L$28,11,FALSE),VLOOKUP(R53,예산평균!$B:$D,3,FALSE))),0)</f>
        <v>0</v>
      </c>
      <c r="Q53" s="475"/>
      <c r="R53" s="357" t="s">
        <v>35</v>
      </c>
      <c r="S53" s="302" t="s">
        <v>6</v>
      </c>
      <c r="T53" s="358">
        <f t="shared" si="12"/>
        <v>0</v>
      </c>
      <c r="U53" s="365">
        <f>IF(Q53=0,$Y$8,Q53)</f>
        <v>12</v>
      </c>
      <c r="V53" s="360" t="s">
        <v>126</v>
      </c>
      <c r="X53" s="556" t="str">
        <f>IF(예산실적비교표!A43="X","",예산실적비교표!A43)</f>
        <v>명절상여금</v>
      </c>
      <c r="Y53" s="750">
        <f>IF($AB$2="",0,IF(X53="",0,예산실적비교표!B43))</f>
        <v>50000</v>
      </c>
      <c r="Z53" s="912">
        <f>IF(예산실적비교표!C43="X","",$Y$27+$Y$28)</f>
        <v>29</v>
      </c>
      <c r="AA53" s="537">
        <f>IF($AA$51&lt;&gt;예산실적비교표!$B$3,$Y$8,예산실적비교표!D43)</f>
        <v>2</v>
      </c>
      <c r="AB53" s="556" t="str">
        <f>IF(예산실적비교표!E43="X","",예산실적비교표!E43)</f>
        <v/>
      </c>
      <c r="AC53" s="750">
        <f>IF($AB$2="",0,IF(AB53="",0,예산실적비교표!F43))</f>
        <v>0</v>
      </c>
      <c r="AD53" s="556" t="str">
        <f>IF(예산실적비교표!G43="X","",예산실적비교표!G43)</f>
        <v>기타(이불,피복비 등)</v>
      </c>
      <c r="AE53" s="750">
        <f>IF($AB$2="",0,IF(AD53="",0,IF(예산실적비교표!H43=0,ROUND($AE$50*20%,-3),예산실적비교표!H43)))</f>
        <v>400000</v>
      </c>
      <c r="AF53" s="537">
        <f>IF($AF$51&lt;&gt;예산실적비교표!$B$3,$U$87,예산실적비교표!I43)</f>
        <v>12</v>
      </c>
      <c r="AH53" s="295" t="str">
        <f>세출예산서!L166</f>
        <v xml:space="preserve">  - </v>
      </c>
      <c r="AI53" s="1346">
        <f>세출예산서!V166</f>
        <v>0</v>
      </c>
      <c r="AJ53" s="1347"/>
      <c r="AL53" s="904" t="s">
        <v>701</v>
      </c>
      <c r="AM53" s="904" t="s">
        <v>701</v>
      </c>
      <c r="AN53" s="904" t="s">
        <v>701</v>
      </c>
      <c r="AP53" s="981" t="str">
        <f>IF(예산실적비교표!AL53&lt;&gt;"",예산실적비교표!AL53,"")</f>
        <v/>
      </c>
      <c r="AQ53" s="982" t="str">
        <f>IF(예산실적비교표!AM53&lt;&gt;"",예산실적비교표!AM53,"")</f>
        <v/>
      </c>
      <c r="AR53" s="983">
        <f>IF(AND(예산실적비교표!AN53&lt;&gt;"",예산실적비교표!AN53&gt;1),예산실적비교표!AN53,0)</f>
        <v>0</v>
      </c>
      <c r="AS53" s="984">
        <f>IF(예산실적비교표!AO53&lt;&gt;"",예산실적비교표!AO53,0)</f>
        <v>0</v>
      </c>
      <c r="AT53" s="971">
        <f t="shared" si="2"/>
        <v>0</v>
      </c>
      <c r="AU53" s="985">
        <f>IF(예산실적비교표!AQ53&lt;&gt;"",예산실적비교표!AQ53,0)</f>
        <v>0</v>
      </c>
      <c r="AV53" s="973">
        <f t="shared" si="5"/>
        <v>0</v>
      </c>
      <c r="AW53" s="974">
        <f>IF(AR53="","",ROUND((AT53*$AT$7)*데이터입력!$AE$14+(AT53*$AU$7)*데이터입력!$AE$14+(AT53*$AU$7*$AV$7)*데이터입력!$AE$14+(AT53*$AW$7)*데이터입력!$AE$14+(AT53*$AX$7)*데이터입력!$AE$14,-1))</f>
        <v>0</v>
      </c>
      <c r="AX53" s="975">
        <f t="shared" si="6"/>
        <v>0</v>
      </c>
      <c r="AY53" s="976">
        <f>IFERROR(IF($AE$2=TRUE,IF(AR53+AS53=0,0,AR53+AS53),ROUND(IF(데이터입력!$AE$14=100%,ROUND(AR53*$AR$1,-3),ROUND(AR53*$AR$1,-3)-ROUND(((AR53*$AR$1)*$AT$4)*(데이터입력!$AE$14-100%)+((AR53*$AR$1)*$AU$4)*(데이터입력!$AE$14-100%)+((AR53*$AR$1)*$AU$4*$AV$4)*(데이터입력!$AE$14-100%)+((AR53*$AR$1)*$AW$4)*(데이터입력!$AE$14-100%),-1)),0)),0)</f>
        <v>0</v>
      </c>
      <c r="AZ53" s="977">
        <f>IFERROR(IF(AR53+AS53=0,0,IF(데이터입력!$AE$12=100%,(AT53),(AT53)+ROUND(AT53*(데이터입력!$AE$12-100%),-1))),0)</f>
        <v>0</v>
      </c>
      <c r="BA53" s="1095" t="str">
        <f>IFERROR(IF(AZ53=0,"",IF(AND(예산실적비교표!AP53&gt;0,예산실적비교표!AW53=0),"",ROUND(AZ53/12,0))),0)</f>
        <v/>
      </c>
      <c r="BB53" s="1116" t="str">
        <f>IF(BA53="","",IF(데이터입력!$O$71="",ROUND(AZ53/12,0),ROUND(데이터입력!$O$71/데이터입력!$Y$8/$BC$11,0)))</f>
        <v/>
      </c>
      <c r="BC53" s="1117" t="s">
        <v>745</v>
      </c>
      <c r="BD53" s="1119" t="s">
        <v>755</v>
      </c>
      <c r="BE53" s="326" t="s">
        <v>755</v>
      </c>
      <c r="BF53" s="326" t="s">
        <v>753</v>
      </c>
      <c r="BG53" s="1196" t="s">
        <v>752</v>
      </c>
      <c r="BH53" s="1604"/>
      <c r="BI53" s="1597"/>
      <c r="BJ53" s="1597"/>
      <c r="BK53" s="1197" t="s">
        <v>810</v>
      </c>
      <c r="BL53" s="1197" t="s">
        <v>810</v>
      </c>
      <c r="BM53" s="1197" t="s">
        <v>812</v>
      </c>
      <c r="BN53" s="1597"/>
      <c r="BO53" s="1597" t="s">
        <v>798</v>
      </c>
      <c r="BP53" s="1197" t="s">
        <v>793</v>
      </c>
      <c r="BQ53" s="1597"/>
      <c r="BR53" s="1600"/>
    </row>
    <row r="54" spans="1:70" ht="18" customHeight="1" thickBot="1">
      <c r="A54" s="901">
        <f>IF($AM$1=TRUE,IF(K54="","",SUBTOTAL(2,$K$3:K54)),IF(AND(M54="",N54=""),"",IF(N54="",COUNT($M$3:M54),COUNT($N$3:N54)+200)))</f>
        <v>15</v>
      </c>
      <c r="B54" s="303" t="s">
        <v>52</v>
      </c>
      <c r="C54" s="303" t="s">
        <v>540</v>
      </c>
      <c r="D54" s="302">
        <v>501020301</v>
      </c>
      <c r="E54" s="302" t="s">
        <v>83</v>
      </c>
      <c r="F54" s="302" t="s">
        <v>80</v>
      </c>
      <c r="G54" s="304">
        <f>IFERROR(IF($E54="06",VLOOKUP($B54,예산실적비교표!$O$7:$R$200,2,FALSE),0),0)</f>
        <v>756000</v>
      </c>
      <c r="H54" s="304">
        <f>IFERROR(IF($E54="06",VLOOKUP($C54,세출예산서!$K$3:$X$307,12,FALSE),0),0)</f>
        <v>756000</v>
      </c>
      <c r="I54" s="304">
        <f>IFERROR(IF($E54="07",VLOOKUP($C54,세출예산서!$K$3:$X$307,13,FALSE),0),0)</f>
        <v>0</v>
      </c>
      <c r="J54" s="304">
        <f>IFERROR(IF($E54="05",VLOOKUP($C54,세출예산서!$K$3:$X$307,14,FALSE),0),0)</f>
        <v>0</v>
      </c>
      <c r="K54" s="304">
        <f t="shared" si="11"/>
        <v>0</v>
      </c>
      <c r="L54" s="305">
        <f>IFERROR(IF($AB$2="",0,ROUNDUP(VLOOKUP($B54,예산실적비교표!$O$7:$R$200,3,FALSE)*$Y$7/($Y$8-(12-$Y$9)),-2)*$Y$8),0)</f>
        <v>756000</v>
      </c>
      <c r="M54" s="597">
        <f>IF($AM$1=TRUE,IF(K54="","",IF(IF($AE$2="",IF(K54="","",SUBTOTAL(2,$K$3:K54)),IF(AND(G54&gt;=0,K54=""),"",IF(AND(G54&gt;0,OR(K54&gt;0,K54&lt;0)),SUBTOTAL(2,$K$3:K54),IF(AND(G54=0,OR(K54&gt;0,K54&lt;0)),SUBTOTAL(2,$K$3:K54)+200,""))))&gt;200,"",1)),IF(K54="","",IF(IF($AE$2="",IF(K54="","",SUBTOTAL(2,$K$3:K54)),IF(AND(G54&gt;=0,K54=""),"",IF(AND(G54&gt;0,OR(K54&gt;0,K54&lt;0)),SUBTOTAL(2,$K$3:K54),IF(AND(G54=0,OR(K54&gt;0,K54&lt;0)),SUBTOTAL(2,$K$3:K54)+200,""))))&gt;200,"",1)))</f>
        <v>1</v>
      </c>
      <c r="N54" s="161" t="str">
        <f>IF($AM$1=TRUE,IF(K54="","",IF(IF($AE$2="",IF(K54="","",SUBTOTAL(2,$K$3:K54)),IF(AND(G54&gt;=0,K54=""),"",IF(AND(G54&gt;0,OR(K54&gt;0,K54&lt;0)),SUBTOTAL(2,$K$3:K54),IF(AND(G54=0,OR(K54&gt;0,K54&lt;0)),SUBTOTAL(2,$K$3:K54)+200,""))))&lt;=200,"",2)),IF(K54="","",IF(IF($AE$2="",IF(K54="","",SUBTOTAL(2,$K$3:K54)),IF(AND(G54&gt;=0,K54=""),"",IF(AND(G54&gt;0,OR(K54&gt;0,K54&lt;0)),SUBTOTAL(2,$K$3:K54),IF(AND(G54=0,OR(K54&gt;0,K54&lt;0)),SUBTOTAL(2,$K$3:K54)+200,""))))&lt;=200,"",2)))</f>
        <v/>
      </c>
      <c r="O54" s="463"/>
      <c r="P54" s="364">
        <f>IFERROR(IF($AE$2="추경",IF(VLOOKUP(R54,$B$1:$L$28,11,FALSE)&gt;=VLOOKUP(R54,$B$1:$L$28,6,FALSE),ROUNDUP(VLOOKUP(R54,$B$1:$L$28,11,FALSE),-4),VLOOKUP(R54,$B$1:$L$28,6,FALSE)),IF(VLOOKUP(R54,$B$1:$L$28,11,FALSE)&gt;=VLOOKUP(R54,$B$1:$L$28,6,FALSE),ROUNDUP(VLOOKUP(R54,$B$1:$L$28,6,FALSE),-3),10000)),0)</f>
        <v>60000</v>
      </c>
      <c r="Q54" s="487">
        <v>0</v>
      </c>
      <c r="R54" s="378" t="s">
        <v>36</v>
      </c>
      <c r="S54" s="379" t="s">
        <v>6</v>
      </c>
      <c r="T54" s="358">
        <f>IF(O54="",ROUNDUP(P54,-3),O54)</f>
        <v>60000</v>
      </c>
      <c r="U54" s="365">
        <f>IF(Q54=0,IF($Y$8&lt;7,1,2),Q54)</f>
        <v>2</v>
      </c>
      <c r="V54" s="360" t="s">
        <v>126</v>
      </c>
      <c r="X54" s="556" t="str">
        <f>IF(예산실적비교표!A44="X","",예산실적비교표!A44)</f>
        <v>직원교육비</v>
      </c>
      <c r="Y54" s="750">
        <f>IF($AB$2="",0,IF(X54="",0,예산실적비교표!B44))</f>
        <v>50000</v>
      </c>
      <c r="Z54" s="912" t="str">
        <f>IF(예산실적비교표!C44="X","",예산실적비교표!C44)</f>
        <v/>
      </c>
      <c r="AA54" s="537">
        <f>IF($AA$51&lt;&gt;예산실적비교표!$B$3,$Y$8,예산실적비교표!D44)</f>
        <v>12</v>
      </c>
      <c r="AB54" s="556" t="str">
        <f>IF(예산실적비교표!E44="X","",예산실적비교표!E44)</f>
        <v/>
      </c>
      <c r="AC54" s="750">
        <f>IF($AB$2="",0,IF(AB54="",0,예산실적비교표!F44))</f>
        <v>0</v>
      </c>
      <c r="AD54" s="556" t="str">
        <f>IF(예산실적비교표!G44="X","",예산실적비교표!G44)</f>
        <v/>
      </c>
      <c r="AE54" s="750">
        <f>IF($AB$2="",0,IF(AD54="",0,예산실적비교표!H44))</f>
        <v>0</v>
      </c>
      <c r="AF54" s="537">
        <f>IF($AF$51&lt;&gt;예산실적비교표!$B$3,$U$87,예산실적비교표!I44)</f>
        <v>12</v>
      </c>
      <c r="AH54" s="548" t="str">
        <f>X61</f>
        <v>프로그램사업비</v>
      </c>
      <c r="AI54" s="1342">
        <f>세출예산서!$Z$241</f>
        <v>14400000</v>
      </c>
      <c r="AJ54" s="1343"/>
      <c r="AL54" s="904" t="s">
        <v>702</v>
      </c>
      <c r="AM54" s="904" t="s">
        <v>702</v>
      </c>
      <c r="AN54" s="904" t="s">
        <v>702</v>
      </c>
      <c r="AP54" s="981" t="str">
        <f>IF(예산실적비교표!AL54&lt;&gt;"",예산실적비교표!AL54,"")</f>
        <v/>
      </c>
      <c r="AQ54" s="982" t="str">
        <f>IF(예산실적비교표!AM54&lt;&gt;"",예산실적비교표!AM54,"")</f>
        <v/>
      </c>
      <c r="AR54" s="983">
        <f>IF(AND(예산실적비교표!AN54&lt;&gt;"",예산실적비교표!AN54&gt;1),예산실적비교표!AN54,0)</f>
        <v>0</v>
      </c>
      <c r="AS54" s="984">
        <f>IF(예산실적비교표!AO54&lt;&gt;"",예산실적비교표!AO54,0)</f>
        <v>0</v>
      </c>
      <c r="AT54" s="971">
        <f t="shared" si="2"/>
        <v>0</v>
      </c>
      <c r="AU54" s="985">
        <f>IF(예산실적비교표!AQ54&lt;&gt;"",예산실적비교표!AQ54,0)</f>
        <v>0</v>
      </c>
      <c r="AV54" s="973">
        <f t="shared" si="5"/>
        <v>0</v>
      </c>
      <c r="AW54" s="974">
        <f>IF(AR54="","",ROUND((AT54*$AT$7)*데이터입력!$AE$14+(AT54*$AU$7)*데이터입력!$AE$14+(AT54*$AU$7*$AV$7)*데이터입력!$AE$14+(AT54*$AW$7)*데이터입력!$AE$14+(AT54*$AX$7)*데이터입력!$AE$14,-1))</f>
        <v>0</v>
      </c>
      <c r="AX54" s="975">
        <f t="shared" si="6"/>
        <v>0</v>
      </c>
      <c r="AY54" s="976">
        <f>IFERROR(IF($AE$2=TRUE,IF(AR54+AS54=0,0,AR54+AS54),ROUND(IF(데이터입력!$AE$14=100%,ROUND(AR54*$AR$1,-3),ROUND(AR54*$AR$1,-3)-ROUND(((AR54*$AR$1)*$AT$4)*(데이터입력!$AE$14-100%)+((AR54*$AR$1)*$AU$4)*(데이터입력!$AE$14-100%)+((AR54*$AR$1)*$AU$4*$AV$4)*(데이터입력!$AE$14-100%)+((AR54*$AR$1)*$AW$4)*(데이터입력!$AE$14-100%),-1)),0)),0)</f>
        <v>0</v>
      </c>
      <c r="AZ54" s="977">
        <f>IFERROR(IF(AR54+AS54=0,0,IF(데이터입력!$AE$12=100%,(AT54),(AT54)+ROUND(AT54*(데이터입력!$AE$12-100%),-1))),0)</f>
        <v>0</v>
      </c>
      <c r="BA54" s="1095" t="str">
        <f>IFERROR(IF(AZ54=0,"",IF(AND(예산실적비교표!AP54&gt;0,예산실적비교표!AW54=0),"",ROUND(AZ54/12,0))),0)</f>
        <v/>
      </c>
      <c r="BB54" s="1116" t="str">
        <f>IF(BA54="","",IF(데이터입력!$O$71="",ROUND(AZ54/12,0),ROUND(데이터입력!$O$71/데이터입력!$Y$8/$BC$11,0)))</f>
        <v/>
      </c>
      <c r="BC54" s="1126" t="s">
        <v>746</v>
      </c>
      <c r="BD54" s="1124" t="s">
        <v>753</v>
      </c>
      <c r="BE54" s="1567" t="s">
        <v>757</v>
      </c>
      <c r="BF54" s="1568"/>
      <c r="BG54" s="1568"/>
      <c r="BH54" s="1605"/>
      <c r="BI54" s="1206" t="s">
        <v>802</v>
      </c>
      <c r="BJ54" s="1206" t="s">
        <v>752</v>
      </c>
      <c r="BK54" s="1202"/>
      <c r="BL54" s="1601" t="s">
        <v>786</v>
      </c>
      <c r="BM54" s="1602"/>
      <c r="BN54" s="1598"/>
      <c r="BO54" s="1598"/>
      <c r="BP54" s="1206"/>
      <c r="BQ54" s="1206" t="s">
        <v>787</v>
      </c>
      <c r="BR54" s="1207"/>
    </row>
    <row r="55" spans="1:70" ht="18" customHeight="1">
      <c r="A55" s="901">
        <f>IF($AM$1=TRUE,IF(K55="","",SUBTOTAL(2,$K$3:K55)),IF(AND(M55="",N55=""),"",IF(N55="",COUNT($M$3:M55),COUNT($N$3:N55)+200)))</f>
        <v>16</v>
      </c>
      <c r="B55" s="303" t="s">
        <v>53</v>
      </c>
      <c r="C55" s="303" t="s">
        <v>541</v>
      </c>
      <c r="D55" s="302">
        <v>501030101</v>
      </c>
      <c r="E55" s="302" t="s">
        <v>83</v>
      </c>
      <c r="F55" s="302" t="s">
        <v>80</v>
      </c>
      <c r="G55" s="304">
        <f>IFERROR(IF($E55="06",VLOOKUP($B55,예산실적비교표!$O$7:$R$200,2,FALSE),0),0)</f>
        <v>1200000</v>
      </c>
      <c r="H55" s="304">
        <f>IFERROR(IF($E55="06",VLOOKUP($C55,세출예산서!$K$3:$X$307,12,FALSE),0),0)</f>
        <v>1200000</v>
      </c>
      <c r="I55" s="304">
        <f>IFERROR(IF($E55="07",VLOOKUP($C55,세출예산서!$K$3:$X$307,13,FALSE),0),0)</f>
        <v>0</v>
      </c>
      <c r="J55" s="304">
        <f>IFERROR(IF($E55="05",VLOOKUP($C55,세출예산서!$K$3:$X$307,14,FALSE),0),0)</f>
        <v>0</v>
      </c>
      <c r="K55" s="304">
        <f t="shared" si="11"/>
        <v>0</v>
      </c>
      <c r="L55" s="305">
        <f>IFERROR(IF($AB$2="",0,ROUNDUP(VLOOKUP($B55,예산실적비교표!$O$7:$R$200,3,FALSE)*$Y$7/($Y$8-(12-$Y$9)),-2)*$Y$8),0)</f>
        <v>1200000</v>
      </c>
      <c r="M55" s="597">
        <f>IF($AM$1=TRUE,IF(K55="","",IF(IF($AE$2="",IF(K55="","",SUBTOTAL(2,$K$3:K55)),IF(AND(G55&gt;=0,K55=""),"",IF(AND(G55&gt;0,OR(K55&gt;0,K55&lt;0)),SUBTOTAL(2,$K$3:K55),IF(AND(G55=0,OR(K55&gt;0,K55&lt;0)),SUBTOTAL(2,$K$3:K55)+200,""))))&gt;200,"",1)),IF(K55="","",IF(IF($AE$2="",IF(K55="","",SUBTOTAL(2,$K$3:K55)),IF(AND(G55&gt;=0,K55=""),"",IF(AND(G55&gt;0,OR(K55&gt;0,K55&lt;0)),SUBTOTAL(2,$K$3:K55),IF(AND(G55=0,OR(K55&gt;0,K55&lt;0)),SUBTOTAL(2,$K$3:K55)+200,""))))&gt;200,"",1)))</f>
        <v>1</v>
      </c>
      <c r="N55" s="161" t="str">
        <f>IF($AM$1=TRUE,IF(K55="","",IF(IF($AE$2="",IF(K55="","",SUBTOTAL(2,$K$3:K55)),IF(AND(G55&gt;=0,K55=""),"",IF(AND(G55&gt;0,OR(K55&gt;0,K55&lt;0)),SUBTOTAL(2,$K$3:K55),IF(AND(G55=0,OR(K55&gt;0,K55&lt;0)),SUBTOTAL(2,$K$3:K55)+200,""))))&lt;=200,"",2)),IF(K55="","",IF(IF($AE$2="",IF(K55="","",SUBTOTAL(2,$K$3:K55)),IF(AND(G55&gt;=0,K55=""),"",IF(AND(G55&gt;0,OR(K55&gt;0,K55&lt;0)),SUBTOTAL(2,$K$3:K55),IF(AND(G55=0,OR(K55&gt;0,K55&lt;0)),SUBTOTAL(2,$K$3:K55)+200,""))))&lt;=200,"",2)))</f>
        <v/>
      </c>
      <c r="O55" s="463"/>
      <c r="P55" s="364">
        <f>IFERROR(IF(VLOOKUP(R55,$B$1:$L$28,11,FALSE)&gt;0,ROUNDUP(VLOOKUP(R55,$B$1:$L$28,11,FALSE)/U55/Y8,-3),IF(VLOOKUP(R55,$B$1:$L$28,6,FALSE)=0,0,VLOOKUP(R55,예산평균!$B:$D,3,FALSE))),0)</f>
        <v>0</v>
      </c>
      <c r="Q55" s="472">
        <v>0</v>
      </c>
      <c r="R55" s="380" t="s">
        <v>37</v>
      </c>
      <c r="S55" s="381" t="s">
        <v>6</v>
      </c>
      <c r="T55" s="358">
        <f>IF(O55="",P55,O55)</f>
        <v>0</v>
      </c>
      <c r="U55" s="382">
        <f>IF(Q55=0,$Y$27+$Y$28,Q55)</f>
        <v>29</v>
      </c>
      <c r="V55" s="376" t="s">
        <v>140</v>
      </c>
      <c r="X55" s="556" t="str">
        <f>IF(예산실적비교표!A45="X","",예산실적비교표!A45)</f>
        <v>경조사비</v>
      </c>
      <c r="Y55" s="750">
        <f>IF($AB$2="",0,IF(X55="",0,예산실적비교표!B45))</f>
        <v>100000</v>
      </c>
      <c r="Z55" s="912" t="str">
        <f>IF(예산실적비교표!C45="X","",예산실적비교표!C45)</f>
        <v/>
      </c>
      <c r="AA55" s="537">
        <f>IF($AA$51&lt;&gt;예산실적비교표!$B$3,$Y$8,예산실적비교표!D45)</f>
        <v>12</v>
      </c>
      <c r="AB55" s="556" t="str">
        <f>IF(예산실적비교표!E45="X","",예산실적비교표!E45)</f>
        <v/>
      </c>
      <c r="AC55" s="750">
        <f>IF($AB$2="",0,IF(AB55="",0,예산실적비교표!F45))</f>
        <v>0</v>
      </c>
      <c r="AD55" s="556" t="str">
        <f>IF(예산실적비교표!G45="X","",예산실적비교표!G45)</f>
        <v/>
      </c>
      <c r="AE55" s="750">
        <f>IF($AB$2="",0,IF(AD55="",0,예산실적비교표!H45))</f>
        <v>0</v>
      </c>
      <c r="AF55" s="537">
        <f>IF($AF$51&lt;&gt;예산실적비교표!$B$3,$U$87,예산실적비교표!I45)</f>
        <v>12</v>
      </c>
      <c r="AH55" s="294" t="str">
        <f>세출예산서!L242</f>
        <v xml:space="preserve">  - 재료비 등</v>
      </c>
      <c r="AI55" s="1344">
        <f>세출예산서!V242</f>
        <v>3192000</v>
      </c>
      <c r="AJ55" s="1345"/>
      <c r="AL55" s="904" t="s">
        <v>703</v>
      </c>
      <c r="AM55" s="904" t="s">
        <v>703</v>
      </c>
      <c r="AN55" s="904" t="s">
        <v>703</v>
      </c>
      <c r="AP55" s="981" t="str">
        <f>IF(예산실적비교표!AL55&lt;&gt;"",예산실적비교표!AL55,"")</f>
        <v/>
      </c>
      <c r="AQ55" s="982" t="str">
        <f>IF(예산실적비교표!AM55&lt;&gt;"",예산실적비교표!AM55,"")</f>
        <v/>
      </c>
      <c r="AR55" s="983">
        <f>IF(AND(예산실적비교표!AN55&lt;&gt;"",예산실적비교표!AN55&gt;1),예산실적비교표!AN55,0)</f>
        <v>0</v>
      </c>
      <c r="AS55" s="984">
        <f>IF(예산실적비교표!AO55&lt;&gt;"",예산실적비교표!AO55,0)</f>
        <v>0</v>
      </c>
      <c r="AT55" s="971">
        <f t="shared" si="2"/>
        <v>0</v>
      </c>
      <c r="AU55" s="985">
        <f>IF(예산실적비교표!AQ55&lt;&gt;"",예산실적비교표!AQ55,0)</f>
        <v>0</v>
      </c>
      <c r="AV55" s="973">
        <f t="shared" si="5"/>
        <v>0</v>
      </c>
      <c r="AW55" s="974">
        <f>IF(AR55="","",ROUND((AT55*$AT$7)*데이터입력!$AE$14+(AT55*$AU$7)*데이터입력!$AE$14+(AT55*$AU$7*$AV$7)*데이터입력!$AE$14+(AT55*$AW$7)*데이터입력!$AE$14+(AT55*$AX$7)*데이터입력!$AE$14,-1))</f>
        <v>0</v>
      </c>
      <c r="AX55" s="975">
        <f t="shared" si="6"/>
        <v>0</v>
      </c>
      <c r="AY55" s="976">
        <f>IFERROR(IF($AE$2=TRUE,IF(AR55+AS55=0,0,AR55+AS55),ROUND(IF(데이터입력!$AE$14=100%,ROUND(AR55*$AR$1,-3),ROUND(AR55*$AR$1,-3)-ROUND(((AR55*$AR$1)*$AT$4)*(데이터입력!$AE$14-100%)+((AR55*$AR$1)*$AU$4)*(데이터입력!$AE$14-100%)+((AR55*$AR$1)*$AU$4*$AV$4)*(데이터입력!$AE$14-100%)+((AR55*$AR$1)*$AW$4)*(데이터입력!$AE$14-100%),-1)),0)),0)</f>
        <v>0</v>
      </c>
      <c r="AZ55" s="977">
        <f>IFERROR(IF(AR55+AS55=0,0,IF(데이터입력!$AE$12=100%,(AT55),(AT55)+ROUND(AT55*(데이터입력!$AE$12-100%),-1))),0)</f>
        <v>0</v>
      </c>
      <c r="BA55" s="1095" t="str">
        <f>IFERROR(IF(AZ55=0,"",IF(AND(예산실적비교표!AP55&gt;0,예산실적비교표!AW55=0),"",ROUND(AZ55/12,0))),0)</f>
        <v/>
      </c>
      <c r="BB55" s="1116" t="str">
        <f>IF(BA55="","",IF(데이터입력!$O$71="",ROUND(AZ55/12,0),ROUND(데이터입력!$O$71/데이터입력!$Y$8/$BC$11,0)))</f>
        <v/>
      </c>
      <c r="BC55" s="1117" t="s">
        <v>747</v>
      </c>
      <c r="BD55" s="1119" t="s">
        <v>755</v>
      </c>
      <c r="BE55" s="326" t="s">
        <v>753</v>
      </c>
      <c r="BF55" s="326" t="s">
        <v>753</v>
      </c>
      <c r="BG55" s="1196" t="s">
        <v>759</v>
      </c>
      <c r="BH55" s="1603" t="s">
        <v>791</v>
      </c>
      <c r="BI55" s="1596" t="s">
        <v>801</v>
      </c>
      <c r="BJ55" s="1596" t="s">
        <v>752</v>
      </c>
      <c r="BK55" s="1596" t="s">
        <v>786</v>
      </c>
      <c r="BL55" s="1596" t="s">
        <v>796</v>
      </c>
      <c r="BM55" s="1585" t="s">
        <v>752</v>
      </c>
      <c r="BN55" s="1596"/>
      <c r="BO55" s="1596" t="s">
        <v>752</v>
      </c>
      <c r="BP55" s="1596"/>
      <c r="BQ55" s="1596" t="s">
        <v>752</v>
      </c>
      <c r="BR55" s="1599"/>
    </row>
    <row r="56" spans="1:70" ht="18" customHeight="1" thickBot="1">
      <c r="A56" s="901">
        <f>IF($AM$1=TRUE,IF(K56="","",SUBTOTAL(2,$K$3:K56)),IF(AND(M56="",N56=""),"",IF(N56="",COUNT($M$3:M56),COUNT($N$3:N56)+200)))</f>
        <v>17</v>
      </c>
      <c r="B56" s="303" t="s">
        <v>54</v>
      </c>
      <c r="C56" s="303" t="s">
        <v>542</v>
      </c>
      <c r="D56" s="302">
        <v>501030201</v>
      </c>
      <c r="E56" s="302" t="s">
        <v>83</v>
      </c>
      <c r="F56" s="302" t="s">
        <v>80</v>
      </c>
      <c r="G56" s="304">
        <f>IFERROR(IF($E56="06",VLOOKUP($B56,예산실적비교표!$O$7:$R$200,2,FALSE),0),0)</f>
        <v>66000000</v>
      </c>
      <c r="H56" s="304">
        <f>IFERROR(IF($E56="06",VLOOKUP($C56,세출예산서!$K$3:$X$307,12,FALSE),0),0)</f>
        <v>66000000</v>
      </c>
      <c r="I56" s="304">
        <f>IFERROR(IF($E56="07",VLOOKUP($C56,세출예산서!$K$3:$X$307,13,FALSE),0),0)</f>
        <v>0</v>
      </c>
      <c r="J56" s="304">
        <f>IFERROR(IF($E56="05",VLOOKUP($C56,세출예산서!$K$3:$X$307,14,FALSE),0),0)</f>
        <v>0</v>
      </c>
      <c r="K56" s="304">
        <f t="shared" si="11"/>
        <v>0</v>
      </c>
      <c r="L56" s="305">
        <f>IFERROR(IF($AB$2="",0,ROUNDUP(VLOOKUP($B56,예산실적비교표!$O$7:$R$200,3,FALSE)*$Y$7/($Y$8-(12-$Y$9)),-2)*$Y$8),0)</f>
        <v>66000000</v>
      </c>
      <c r="M56" s="597">
        <f>IF($AM$1=TRUE,IF(K56="","",IF(IF($AE$2="",IF(K56="","",SUBTOTAL(2,$K$3:K56)),IF(AND(G56&gt;=0,K56=""),"",IF(AND(G56&gt;0,OR(K56&gt;0,K56&lt;0)),SUBTOTAL(2,$K$3:K56),IF(AND(G56=0,OR(K56&gt;0,K56&lt;0)),SUBTOTAL(2,$K$3:K56)+200,""))))&gt;200,"",1)),IF(K56="","",IF(IF($AE$2="",IF(K56="","",SUBTOTAL(2,$K$3:K56)),IF(AND(G56&gt;=0,K56=""),"",IF(AND(G56&gt;0,OR(K56&gt;0,K56&lt;0)),SUBTOTAL(2,$K$3:K56),IF(AND(G56=0,OR(K56&gt;0,K56&lt;0)),SUBTOTAL(2,$K$3:K56)+200,""))))&gt;200,"",1)))</f>
        <v>1</v>
      </c>
      <c r="N56" s="161" t="str">
        <f>IF($AM$1=TRUE,IF(K56="","",IF(IF($AE$2="",IF(K56="","",SUBTOTAL(2,$K$3:K56)),IF(AND(G56&gt;=0,K56=""),"",IF(AND(G56&gt;0,OR(K56&gt;0,K56&lt;0)),SUBTOTAL(2,$K$3:K56),IF(AND(G56=0,OR(K56&gt;0,K56&lt;0)),SUBTOTAL(2,$K$3:K56)+200,""))))&lt;=200,"",2)),IF(K56="","",IF(IF($AE$2="",IF(K56="","",SUBTOTAL(2,$K$3:K56)),IF(AND(G56&gt;=0,K56=""),"",IF(AND(G56&gt;0,OR(K56&gt;0,K56&lt;0)),SUBTOTAL(2,$K$3:K56),IF(AND(G56=0,OR(K56&gt;0,K56&lt;0)),SUBTOTAL(2,$K$3:K56)+200,""))))&lt;=200,"",2)))</f>
        <v/>
      </c>
      <c r="O56" s="464"/>
      <c r="P56" s="383">
        <f>IFERROR(IF($AE$2="추경",IF(VLOOKUP(R56,$B$1:$L$28,11,FALSE)&gt;=VLOOKUP(R56,$B$1:$L$28,6,FALSE),ROUNDUP(VLOOKUP(R56,$B$1:$L$28,6,FALSE),-5),VLOOKUP(R56,$B$1:$L$28,6,FALSE)),IF(VLOOKUP(R56,$B$1:$L$28,11,FALSE)&gt;0,ROUNDUP(VLOOKUP(R56,$B$1:$L$28,6,FALSE),-5),VLOOKUP(R56,예산평균!$B:$D,3,FALSE))),0)</f>
        <v>12000000</v>
      </c>
      <c r="Q56" s="792"/>
      <c r="R56" s="384" t="s">
        <v>127</v>
      </c>
      <c r="S56" s="385" t="s">
        <v>6</v>
      </c>
      <c r="T56" s="386">
        <f t="shared" si="12"/>
        <v>12000000</v>
      </c>
      <c r="U56" s="387">
        <f>IF(Q56=0,$Y$8,Q56)</f>
        <v>12</v>
      </c>
      <c r="V56" s="388" t="s">
        <v>141</v>
      </c>
      <c r="X56" s="556" t="str">
        <f>IF(예산실적비교표!A46="X","",예산실적비교표!A46)</f>
        <v>직원식대</v>
      </c>
      <c r="Y56" s="750">
        <f>IF($AB$2="",0,IF(X56="",0,예산실적비교표!B46))</f>
        <v>50000</v>
      </c>
      <c r="Z56" s="912">
        <f>IF(예산실적비교표!C46="X","",$Y$27+$Y$28)</f>
        <v>29</v>
      </c>
      <c r="AA56" s="537">
        <f>IF($AA$51&lt;&gt;예산실적비교표!$B$3,$Y$8,예산실적비교표!D46)</f>
        <v>12</v>
      </c>
      <c r="AB56" s="556" t="str">
        <f>IF(예산실적비교표!E46="X","",예산실적비교표!E46)</f>
        <v/>
      </c>
      <c r="AC56" s="750">
        <f>IF($AB$2="",0,IF(AB56="",0,예산실적비교표!F46))</f>
        <v>0</v>
      </c>
      <c r="AD56" s="556" t="str">
        <f>IF(예산실적비교표!G46="X","",예산실적비교표!G46)</f>
        <v/>
      </c>
      <c r="AE56" s="750">
        <f>IF($AB$2="",0,IF(AD56="",0,예산실적비교표!H46))</f>
        <v>0</v>
      </c>
      <c r="AF56" s="537">
        <f>IF($AF$51&lt;&gt;예산실적비교표!$B$3,$U$87,예산실적비교표!I46)</f>
        <v>12</v>
      </c>
      <c r="AH56" s="279" t="str">
        <f>세출예산서!L243</f>
        <v xml:space="preserve">  - 웃음치료 등</v>
      </c>
      <c r="AI56" s="1346">
        <f>세출예산서!V243</f>
        <v>2880000</v>
      </c>
      <c r="AJ56" s="1347"/>
      <c r="AL56" s="904" t="s">
        <v>704</v>
      </c>
      <c r="AM56" s="904" t="s">
        <v>704</v>
      </c>
      <c r="AN56" s="904" t="s">
        <v>704</v>
      </c>
      <c r="AP56" s="981" t="str">
        <f>IF(예산실적비교표!AL56&lt;&gt;"",예산실적비교표!AL56,"")</f>
        <v/>
      </c>
      <c r="AQ56" s="982" t="str">
        <f>IF(예산실적비교표!AM56&lt;&gt;"",예산실적비교표!AM56,"")</f>
        <v/>
      </c>
      <c r="AR56" s="983">
        <f>IF(AND(예산실적비교표!AN56&lt;&gt;"",예산실적비교표!AN56&gt;1),예산실적비교표!AN56,0)</f>
        <v>0</v>
      </c>
      <c r="AS56" s="984">
        <f>IF(예산실적비교표!AO56&lt;&gt;"",예산실적비교표!AO56,0)</f>
        <v>0</v>
      </c>
      <c r="AT56" s="971">
        <f t="shared" si="2"/>
        <v>0</v>
      </c>
      <c r="AU56" s="985">
        <f>IF(예산실적비교표!AQ56&lt;&gt;"",예산실적비교표!AQ56,0)</f>
        <v>0</v>
      </c>
      <c r="AV56" s="973">
        <f t="shared" si="5"/>
        <v>0</v>
      </c>
      <c r="AW56" s="974">
        <f>IF(AR56="","",ROUND((AT56*$AT$7)*데이터입력!$AE$14+(AT56*$AU$7)*데이터입력!$AE$14+(AT56*$AU$7*$AV$7)*데이터입력!$AE$14+(AT56*$AW$7)*데이터입력!$AE$14+(AT56*$AX$7)*데이터입력!$AE$14,-1))</f>
        <v>0</v>
      </c>
      <c r="AX56" s="975">
        <f t="shared" si="6"/>
        <v>0</v>
      </c>
      <c r="AY56" s="976">
        <f>IFERROR(IF($AE$2=TRUE,IF(AR56+AS56=0,0,AR56+AS56),ROUND(IF(데이터입력!$AE$14=100%,ROUND(AR56*$AR$1,-3),ROUND(AR56*$AR$1,-3)-ROUND(((AR56*$AR$1)*$AT$4)*(데이터입력!$AE$14-100%)+((AR56*$AR$1)*$AU$4)*(데이터입력!$AE$14-100%)+((AR56*$AR$1)*$AU$4*$AV$4)*(데이터입력!$AE$14-100%)+((AR56*$AR$1)*$AW$4)*(데이터입력!$AE$14-100%),-1)),0)),0)</f>
        <v>0</v>
      </c>
      <c r="AZ56" s="977">
        <f>IFERROR(IF(AR56+AS56=0,0,IF(데이터입력!$AE$12=100%,(AT56),(AT56)+ROUND(AT56*(데이터입력!$AE$12-100%),-1))),0)</f>
        <v>0</v>
      </c>
      <c r="BA56" s="1095" t="str">
        <f>IFERROR(IF(AZ56=0,"",IF(AND(예산실적비교표!AP56&gt;0,예산실적비교표!AW56=0),"",ROUND(AZ56/12,0))),0)</f>
        <v/>
      </c>
      <c r="BB56" s="1116" t="str">
        <f>IF(BA56="","",IF(데이터입력!$O$71="",ROUND(AZ56/12,0),ROUND(데이터입력!$O$71/데이터입력!$Y$8/$BC$11,0)))</f>
        <v/>
      </c>
      <c r="BC56" s="1118" t="s">
        <v>748</v>
      </c>
      <c r="BD56" s="1123" t="s">
        <v>755</v>
      </c>
      <c r="BE56" s="793" t="s">
        <v>755</v>
      </c>
      <c r="BF56" s="793" t="s">
        <v>753</v>
      </c>
      <c r="BG56" s="1205" t="s">
        <v>752</v>
      </c>
      <c r="BH56" s="1604"/>
      <c r="BI56" s="1597"/>
      <c r="BJ56" s="1597"/>
      <c r="BK56" s="1597"/>
      <c r="BL56" s="1597"/>
      <c r="BM56" s="1606"/>
      <c r="BN56" s="1597"/>
      <c r="BO56" s="1597"/>
      <c r="BP56" s="1597"/>
      <c r="BQ56" s="1597"/>
      <c r="BR56" s="1600"/>
    </row>
    <row r="57" spans="1:70" ht="18" customHeight="1">
      <c r="A57" s="901">
        <f>IF($AM$1=TRUE,IF(K57="","",SUBTOTAL(2,$K$3:K57)),IF(AND(M57="",N57=""),"",IF(N57="",COUNT($M$3:M57),COUNT($N$3:N57)+200)))</f>
        <v>18</v>
      </c>
      <c r="B57" s="303" t="str">
        <f>$R$79</f>
        <v>공공요금 및 각종 세금공과금</v>
      </c>
      <c r="C57" s="303" t="str">
        <f>B57&amp;"(수익사업)"</f>
        <v>공공요금 및 각종 세금공과금(수익사업)</v>
      </c>
      <c r="D57" s="302">
        <v>501030301</v>
      </c>
      <c r="E57" s="302" t="s">
        <v>83</v>
      </c>
      <c r="F57" s="302" t="s">
        <v>80</v>
      </c>
      <c r="G57" s="304">
        <f>IFERROR(IF($E57="06",VLOOKUP($B57,예산실적비교표!$O$7:$R$200,2,FALSE),0),0)</f>
        <v>87000000</v>
      </c>
      <c r="H57" s="304">
        <f>IFERROR(IF($E57="06",VLOOKUP($C57,세출예산서!$K$3:$X$307,12,FALSE),0),0)</f>
        <v>90000000</v>
      </c>
      <c r="I57" s="304">
        <f>IFERROR(IF($E57="07",VLOOKUP($C57,세출예산서!$K$3:$X$307,13,FALSE),0),0)</f>
        <v>0</v>
      </c>
      <c r="J57" s="304">
        <f>IFERROR(IF($E57="05",VLOOKUP($C57,세출예산서!$K$3:$X$307,14,FALSE),0),0)</f>
        <v>0</v>
      </c>
      <c r="K57" s="304">
        <f t="shared" si="11"/>
        <v>3000000</v>
      </c>
      <c r="L57" s="305">
        <f>IFERROR(IF($AB$2="",0,ROUNDUP(VLOOKUP($B57,예산실적비교표!$O$7:$R$200,3,FALSE)*$Y$7/($Y$8-(12-$Y$9)),-2)*$Y$8),0)</f>
        <v>87000000</v>
      </c>
      <c r="M57" s="597">
        <f>IF($AM$1=TRUE,IF(K57="","",IF(IF($AE$2="",IF(K57="","",SUBTOTAL(2,$K$3:K57)),IF(AND(G57&gt;=0,K57=""),"",IF(AND(G57&gt;0,OR(K57&gt;0,K57&lt;0)),SUBTOTAL(2,$K$3:K57),IF(AND(G57=0,OR(K57&gt;0,K57&lt;0)),SUBTOTAL(2,$K$3:K57)+200,""))))&gt;200,"",1)),IF(K57="","",IF(IF($AE$2="",IF(K57="","",SUBTOTAL(2,$K$3:K57)),IF(AND(G57&gt;=0,K57=""),"",IF(AND(G57&gt;0,OR(K57&gt;0,K57&lt;0)),SUBTOTAL(2,$K$3:K57),IF(AND(G57=0,OR(K57&gt;0,K57&lt;0)),SUBTOTAL(2,$K$3:K57)+200,""))))&gt;200,"",1)))</f>
        <v>1</v>
      </c>
      <c r="N57" s="161" t="str">
        <f>IF($AM$1=TRUE,IF(K57="","",IF(IF($AE$2="",IF(K57="","",SUBTOTAL(2,$K$3:K57)),IF(AND(G57&gt;=0,K57=""),"",IF(AND(G57&gt;0,OR(K57&gt;0,K57&lt;0)),SUBTOTAL(2,$K$3:K57),IF(AND(G57=0,OR(K57&gt;0,K57&lt;0)),SUBTOTAL(2,$K$3:K57)+200,""))))&lt;=200,"",2)),IF(K57="","",IF(IF($AE$2="",IF(K57="","",SUBTOTAL(2,$K$3:K57)),IF(AND(G57&gt;=0,K57=""),"",IF(AND(G57&gt;0,OR(K57&gt;0,K57&lt;0)),SUBTOTAL(2,$K$3:K57),IF(AND(G57=0,OR(K57&gt;0,K57&lt;0)),SUBTOTAL(2,$K$3:K57)+200,""))))&lt;=200,"",2)))</f>
        <v/>
      </c>
      <c r="O57" s="465"/>
      <c r="P57" s="356">
        <f t="shared" ref="P57:P60" si="13">IFERROR(IF(VLOOKUP(R57,$B$29:$L$34,11,FALSE)&gt;0,VLOOKUP(R57,$B$29:$L$34,11,FALSE),0),0)</f>
        <v>0</v>
      </c>
      <c r="Q57" s="474">
        <v>0</v>
      </c>
      <c r="R57" s="389" t="s">
        <v>13</v>
      </c>
      <c r="S57" s="390" t="s">
        <v>14</v>
      </c>
      <c r="T57" s="391">
        <f t="shared" si="12"/>
        <v>0</v>
      </c>
      <c r="U57" s="392">
        <f>IF(Q57=0,$Y$8,Q57)</f>
        <v>12</v>
      </c>
      <c r="V57" s="393" t="s">
        <v>141</v>
      </c>
      <c r="X57" s="556" t="str">
        <f>IF(예산실적비교표!A47="X","",예산실적비교표!A47)</f>
        <v/>
      </c>
      <c r="Y57" s="750">
        <f>IF($AB$2="",0,IF(X57="",0,예산실적비교표!B47))</f>
        <v>0</v>
      </c>
      <c r="Z57" s="912" t="str">
        <f>IF(예산실적비교표!C47="X","",예산실적비교표!C47)</f>
        <v/>
      </c>
      <c r="AA57" s="537">
        <f>IF($AA$51&lt;&gt;예산실적비교표!$B$3,$Y$8,예산실적비교표!D47)</f>
        <v>12</v>
      </c>
      <c r="AB57" s="556" t="str">
        <f>IF(예산실적비교표!E47="X","",예산실적비교표!E47)</f>
        <v/>
      </c>
      <c r="AC57" s="750">
        <f>IF($AB$2="",0,IF(AB57="",0,예산실적비교표!F47))</f>
        <v>0</v>
      </c>
      <c r="AD57" s="556" t="str">
        <f>IF(예산실적비교표!G47="X","",예산실적비교표!G47)</f>
        <v/>
      </c>
      <c r="AE57" s="750">
        <f>IF($AB$2="",0,IF(AD57="",0,예산실적비교표!H47))</f>
        <v>0</v>
      </c>
      <c r="AF57" s="537">
        <f>IF($AF$51&lt;&gt;예산실적비교표!$B$3,$U$87,예산실적비교표!I47)</f>
        <v>12</v>
      </c>
      <c r="AH57" s="279" t="str">
        <f>세출예산서!L244</f>
        <v xml:space="preserve">  - 맞춤치료 등</v>
      </c>
      <c r="AI57" s="1346">
        <f>세출예산서!V244</f>
        <v>2880000</v>
      </c>
      <c r="AJ57" s="1347"/>
      <c r="AL57" s="904"/>
      <c r="AM57" s="904" t="s">
        <v>705</v>
      </c>
      <c r="AN57" s="904"/>
      <c r="AP57" s="981" t="str">
        <f>IF(예산실적비교표!AL57&lt;&gt;"",예산실적비교표!AL57,"")</f>
        <v/>
      </c>
      <c r="AQ57" s="982" t="str">
        <f>IF(예산실적비교표!AM57&lt;&gt;"",예산실적비교표!AM57,"")</f>
        <v/>
      </c>
      <c r="AR57" s="983">
        <f>IF(AND(예산실적비교표!AN57&lt;&gt;"",예산실적비교표!AN57&gt;1),예산실적비교표!AN57,0)</f>
        <v>0</v>
      </c>
      <c r="AS57" s="984">
        <f>IF(예산실적비교표!AO57&lt;&gt;"",예산실적비교표!AO57,0)</f>
        <v>0</v>
      </c>
      <c r="AT57" s="971">
        <f t="shared" si="2"/>
        <v>0</v>
      </c>
      <c r="AU57" s="985">
        <f>IF(예산실적비교표!AQ57&lt;&gt;"",예산실적비교표!AQ57,0)</f>
        <v>0</v>
      </c>
      <c r="AV57" s="973">
        <f t="shared" si="5"/>
        <v>0</v>
      </c>
      <c r="AW57" s="974">
        <f>IF(AR57="","",ROUND((AT57*$AT$7)*데이터입력!$AE$14+(AT57*$AU$7)*데이터입력!$AE$14+(AT57*$AU$7*$AV$7)*데이터입력!$AE$14+(AT57*$AW$7)*데이터입력!$AE$14+(AT57*$AX$7)*데이터입력!$AE$14,-1))</f>
        <v>0</v>
      </c>
      <c r="AX57" s="975">
        <f t="shared" si="6"/>
        <v>0</v>
      </c>
      <c r="AY57" s="976">
        <f>IFERROR(IF($AE$2=TRUE,IF(AR57+AS57=0,0,AR57+AS57),ROUND(IF(데이터입력!$AE$14=100%,ROUND(AR57*$AR$1,-3),ROUND(AR57*$AR$1,-3)-ROUND(((AR57*$AR$1)*$AT$4)*(데이터입력!$AE$14-100%)+((AR57*$AR$1)*$AU$4)*(데이터입력!$AE$14-100%)+((AR57*$AR$1)*$AU$4*$AV$4)*(데이터입력!$AE$14-100%)+((AR57*$AR$1)*$AW$4)*(데이터입력!$AE$14-100%),-1)),0)),0)</f>
        <v>0</v>
      </c>
      <c r="AZ57" s="977">
        <f>IFERROR(IF(AR57+AS57=0,0,IF(데이터입력!$AE$12=100%,(AT57),(AT57)+ROUND(AT57*(데이터입력!$AE$12-100%),-1))),0)</f>
        <v>0</v>
      </c>
      <c r="BA57" s="1095" t="str">
        <f>IFERROR(IF(AZ57=0,"",IF(AND(예산실적비교표!AP57&gt;0,예산실적비교표!AW57=0),"",ROUND(AZ57/12,0))),0)</f>
        <v/>
      </c>
      <c r="BB57" s="1096" t="str">
        <f>IF(BA57="","",IF(데이터입력!$O$71="",ROUND(AZ57/12,0),ROUND(데이터입력!$O$71/데이터입력!$Y$8/$BC$11,0)))</f>
        <v/>
      </c>
      <c r="BH57" s="1604"/>
      <c r="BI57" s="1597"/>
      <c r="BJ57" s="1597"/>
      <c r="BK57" s="1597"/>
      <c r="BL57" s="1597"/>
      <c r="BM57" s="1197" t="s">
        <v>794</v>
      </c>
      <c r="BN57" s="1597"/>
      <c r="BO57" s="1597"/>
      <c r="BP57" s="1597"/>
      <c r="BQ57" s="1597"/>
      <c r="BR57" s="1600"/>
    </row>
    <row r="58" spans="1:70" ht="18" customHeight="1" thickBot="1">
      <c r="A58" s="901">
        <f>IF($AM$1=TRUE,IF(K58="","",SUBTOTAL(2,$K$3:K58)),IF(AND(M58="",N58=""),"",IF(N58="",COUNT($M$3:M58),COUNT($N$3:N58)+200)))</f>
        <v>19</v>
      </c>
      <c r="B58" s="303" t="s">
        <v>55</v>
      </c>
      <c r="C58" s="303" t="s">
        <v>543</v>
      </c>
      <c r="D58" s="302">
        <v>501030501</v>
      </c>
      <c r="E58" s="302" t="s">
        <v>83</v>
      </c>
      <c r="F58" s="302" t="s">
        <v>80</v>
      </c>
      <c r="G58" s="304">
        <f>IFERROR(IF($E58="06",VLOOKUP($B58,예산실적비교표!$O$7:$R$200,2,FALSE),0),0)</f>
        <v>7200000</v>
      </c>
      <c r="H58" s="304">
        <f>IFERROR(IF($E58="06",VLOOKUP($C58,세출예산서!$K$3:$X$307,12,FALSE),0),0)</f>
        <v>7200000</v>
      </c>
      <c r="I58" s="304">
        <f>IFERROR(IF($E58="07",VLOOKUP($C58,세출예산서!$K$3:$X$307,13,FALSE),0),0)</f>
        <v>0</v>
      </c>
      <c r="J58" s="304">
        <f>IFERROR(IF($E58="05",VLOOKUP($C58,세출예산서!$K$3:$X$307,14,FALSE),0),0)</f>
        <v>0</v>
      </c>
      <c r="K58" s="304">
        <f t="shared" si="11"/>
        <v>0</v>
      </c>
      <c r="L58" s="305">
        <f>IFERROR(IF($AB$2="",0,ROUNDUP(VLOOKUP($B58,예산실적비교표!$O$7:$R$200,3,FALSE)*$Y$7/($Y$8-(12-$Y$9)),-2)*$Y$8),0)</f>
        <v>7200000</v>
      </c>
      <c r="M58" s="597">
        <f>IF($AM$1=TRUE,IF(K58="","",IF(IF($AE$2="",IF(K58="","",SUBTOTAL(2,$K$3:K58)),IF(AND(G58&gt;=0,K58=""),"",IF(AND(G58&gt;0,OR(K58&gt;0,K58&lt;0)),SUBTOTAL(2,$K$3:K58),IF(AND(G58=0,OR(K58&gt;0,K58&lt;0)),SUBTOTAL(2,$K$3:K58)+200,""))))&gt;200,"",1)),IF(K58="","",IF(IF($AE$2="",IF(K58="","",SUBTOTAL(2,$K$3:K58)),IF(AND(G58&gt;=0,K58=""),"",IF(AND(G58&gt;0,OR(K58&gt;0,K58&lt;0)),SUBTOTAL(2,$K$3:K58),IF(AND(G58=0,OR(K58&gt;0,K58&lt;0)),SUBTOTAL(2,$K$3:K58)+200,""))))&gt;200,"",1)))</f>
        <v>1</v>
      </c>
      <c r="N58" s="161" t="str">
        <f>IF($AM$1=TRUE,IF(K58="","",IF(IF($AE$2="",IF(K58="","",SUBTOTAL(2,$K$3:K58)),IF(AND(G58&gt;=0,K58=""),"",IF(AND(G58&gt;0,OR(K58&gt;0,K58&lt;0)),SUBTOTAL(2,$K$3:K58),IF(AND(G58=0,OR(K58&gt;0,K58&lt;0)),SUBTOTAL(2,$K$3:K58)+200,""))))&lt;=200,"",2)),IF(K58="","",IF(IF($AE$2="",IF(K58="","",SUBTOTAL(2,$K$3:K58)),IF(AND(G58&gt;=0,K58=""),"",IF(AND(G58&gt;0,OR(K58&gt;0,K58&lt;0)),SUBTOTAL(2,$K$3:K58),IF(AND(G58=0,OR(K58&gt;0,K58&lt;0)),SUBTOTAL(2,$K$3:K58)+200,""))))&lt;=200,"",2)))</f>
        <v/>
      </c>
      <c r="O58" s="466"/>
      <c r="P58" s="364">
        <f t="shared" si="13"/>
        <v>0</v>
      </c>
      <c r="Q58" s="487">
        <v>0</v>
      </c>
      <c r="R58" s="396" t="s">
        <v>15</v>
      </c>
      <c r="S58" s="348" t="s">
        <v>14</v>
      </c>
      <c r="T58" s="397">
        <f t="shared" si="12"/>
        <v>0</v>
      </c>
      <c r="U58" s="398">
        <f>IF(Q58=0,$Y$8,Q58)</f>
        <v>12</v>
      </c>
      <c r="V58" s="399" t="s">
        <v>141</v>
      </c>
      <c r="X58" s="556" t="str">
        <f>IF(예산실적비교표!A48="X","",예산실적비교표!A48)</f>
        <v/>
      </c>
      <c r="Y58" s="750">
        <f>IF($AB$2="",0,IF(X58="",0,예산실적비교표!B48))</f>
        <v>0</v>
      </c>
      <c r="Z58" s="912" t="str">
        <f>IF(예산실적비교표!C48="X","",예산실적비교표!C48)</f>
        <v/>
      </c>
      <c r="AA58" s="537">
        <f>IF($AA$51&lt;&gt;예산실적비교표!$B$3,$Y$8,예산실적비교표!D48)</f>
        <v>12</v>
      </c>
      <c r="AB58" s="556" t="str">
        <f>IF(예산실적비교표!E48="X","",예산실적비교표!E48)</f>
        <v/>
      </c>
      <c r="AC58" s="750">
        <f>IF($AB$2="",0,IF(AB58="",0,예산실적비교표!F48))</f>
        <v>0</v>
      </c>
      <c r="AD58" s="556" t="str">
        <f>IF(예산실적비교표!G48="X","",예산실적비교표!G48)</f>
        <v/>
      </c>
      <c r="AE58" s="750">
        <f>IF($AB$2="",0,IF(AD58="",0,예산실적비교표!H48))</f>
        <v>0</v>
      </c>
      <c r="AF58" s="537">
        <f>IF($AF$51&lt;&gt;예산실적비교표!$B$3,$U$87,예산실적비교표!I48)</f>
        <v>12</v>
      </c>
      <c r="AH58" s="279" t="str">
        <f>세출예산서!L245</f>
        <v xml:space="preserve">  - 명절잔치(수급자)</v>
      </c>
      <c r="AI58" s="1346">
        <f>세출예산서!V245</f>
        <v>450000</v>
      </c>
      <c r="AJ58" s="1347"/>
      <c r="AP58" s="981" t="str">
        <f>IF(예산실적비교표!AL58&lt;&gt;"",예산실적비교표!AL58,"")</f>
        <v/>
      </c>
      <c r="AQ58" s="982" t="str">
        <f>IF(예산실적비교표!AM58&lt;&gt;"",예산실적비교표!AM58,"")</f>
        <v/>
      </c>
      <c r="AR58" s="983">
        <f>IF(AND(예산실적비교표!AN58&lt;&gt;"",예산실적비교표!AN58&gt;1),예산실적비교표!AN58,0)</f>
        <v>0</v>
      </c>
      <c r="AS58" s="984">
        <f>IF(예산실적비교표!AO58&lt;&gt;"",예산실적비교표!AO58,0)</f>
        <v>0</v>
      </c>
      <c r="AT58" s="971">
        <f t="shared" si="2"/>
        <v>0</v>
      </c>
      <c r="AU58" s="985">
        <f>IF(예산실적비교표!AQ58&lt;&gt;"",예산실적비교표!AQ58,0)</f>
        <v>0</v>
      </c>
      <c r="AV58" s="973">
        <f t="shared" si="5"/>
        <v>0</v>
      </c>
      <c r="AW58" s="974">
        <f>IF(AR58="","",ROUND((AT58*$AT$7)*데이터입력!$AE$14+(AT58*$AU$7)*데이터입력!$AE$14+(AT58*$AU$7*$AV$7)*데이터입력!$AE$14+(AT58*$AW$7)*데이터입력!$AE$14+(AT58*$AX$7)*데이터입력!$AE$14,-1))</f>
        <v>0</v>
      </c>
      <c r="AX58" s="975">
        <f t="shared" si="6"/>
        <v>0</v>
      </c>
      <c r="AY58" s="976">
        <f>IFERROR(IF($AE$2=TRUE,IF(AR58+AS58=0,0,AR58+AS58),ROUND(IF(데이터입력!$AE$14=100%,ROUND(AR58*$AR$1,-3),ROUND(AR58*$AR$1,-3)-ROUND(((AR58*$AR$1)*$AT$4)*(데이터입력!$AE$14-100%)+((AR58*$AR$1)*$AU$4)*(데이터입력!$AE$14-100%)+((AR58*$AR$1)*$AU$4*$AV$4)*(데이터입력!$AE$14-100%)+((AR58*$AR$1)*$AW$4)*(데이터입력!$AE$14-100%),-1)),0)),0)</f>
        <v>0</v>
      </c>
      <c r="AZ58" s="977">
        <f>IFERROR(IF(AR58+AS58=0,0,IF(데이터입력!$AE$12=100%,(AT58),(AT58)+ROUND(AT58*(데이터입력!$AE$12-100%),-1))),0)</f>
        <v>0</v>
      </c>
      <c r="BA58" s="1095" t="str">
        <f>IFERROR(IF(AZ58=0,"",IF(AND(예산실적비교표!AP58&gt;0,예산실적비교표!AW58=0),"",ROUND(AZ58/12,0))),0)</f>
        <v/>
      </c>
      <c r="BB58" s="1096" t="str">
        <f>IF(BA58="","",IF(데이터입력!$O$71="",ROUND(AZ58/12,0),ROUND(데이터입력!$O$71/데이터입력!$Y$8/$BC$11,0)))</f>
        <v/>
      </c>
      <c r="BH58" s="1605"/>
      <c r="BI58" s="1206" t="s">
        <v>802</v>
      </c>
      <c r="BJ58" s="1206" t="s">
        <v>752</v>
      </c>
      <c r="BK58" s="1206"/>
      <c r="BL58" s="1206" t="s">
        <v>752</v>
      </c>
      <c r="BM58" s="1206"/>
      <c r="BN58" s="1598"/>
      <c r="BO58" s="1206" t="s">
        <v>797</v>
      </c>
      <c r="BP58" s="1206"/>
      <c r="BQ58" s="1206" t="s">
        <v>752</v>
      </c>
      <c r="BR58" s="1207"/>
    </row>
    <row r="59" spans="1:70" ht="18" customHeight="1" thickBot="1">
      <c r="A59" s="901" t="str">
        <f>IF($AM$1=TRUE,IF(K59="","",SUBTOTAL(2,$K$3:K59)),IF(AND(M59="",N59=""),"",IF(N59="",COUNT($M$3:M59),COUNT($N$3:N59)+200)))</f>
        <v/>
      </c>
      <c r="B59" s="303" t="s">
        <v>56</v>
      </c>
      <c r="C59" s="303" t="s">
        <v>544</v>
      </c>
      <c r="D59" s="302">
        <v>501030601</v>
      </c>
      <c r="E59" s="302" t="s">
        <v>83</v>
      </c>
      <c r="F59" s="302" t="s">
        <v>80</v>
      </c>
      <c r="G59" s="304">
        <f>IFERROR(IF($E59="06",VLOOKUP($B59,예산실적비교표!$O$7:$R$200,2,FALSE),0),0)</f>
        <v>0</v>
      </c>
      <c r="H59" s="304">
        <f>IFERROR(IF($E59="06",VLOOKUP($C59,세출예산서!$K$3:$X$307,12,FALSE),0),0)</f>
        <v>0</v>
      </c>
      <c r="I59" s="304">
        <f>IFERROR(IF($E59="07",VLOOKUP($C59,세출예산서!$K$3:$X$307,13,FALSE),0),0)</f>
        <v>0</v>
      </c>
      <c r="J59" s="304">
        <f>IFERROR(IF($E59="05",VLOOKUP($C59,세출예산서!$K$3:$X$307,14,FALSE),0),0)</f>
        <v>0</v>
      </c>
      <c r="K59" s="304" t="str">
        <f t="shared" si="11"/>
        <v/>
      </c>
      <c r="L59" s="305">
        <f>IFERROR(IF($AB$2="",0,ROUNDUP(VLOOKUP($B59,예산실적비교표!$O$7:$R$200,3,FALSE)*$Y$7/($Y$8-(12-$Y$9)),-2)*$Y$8),0)</f>
        <v>0</v>
      </c>
      <c r="M59" s="597" t="str">
        <f>IF($AM$1=TRUE,IF(K59="","",IF(IF($AE$2="",IF(K59="","",SUBTOTAL(2,$K$3:K59)),IF(AND(G59&gt;=0,K59=""),"",IF(AND(G59&gt;0,OR(K59&gt;0,K59&lt;0)),SUBTOTAL(2,$K$3:K59),IF(AND(G59=0,OR(K59&gt;0,K59&lt;0)),SUBTOTAL(2,$K$3:K59)+200,""))))&gt;200,"",1)),IF(K59="","",IF(IF($AE$2="",IF(K59="","",SUBTOTAL(2,$K$3:K59)),IF(AND(G59&gt;=0,K59=""),"",IF(AND(G59&gt;0,OR(K59&gt;0,K59&lt;0)),SUBTOTAL(2,$K$3:K59),IF(AND(G59=0,OR(K59&gt;0,K59&lt;0)),SUBTOTAL(2,$K$3:K59)+200,""))))&gt;200,"",1)))</f>
        <v/>
      </c>
      <c r="N59" s="161" t="str">
        <f>IF($AM$1=TRUE,IF(K59="","",IF(IF($AE$2="",IF(K59="","",SUBTOTAL(2,$K$3:K59)),IF(AND(G59&gt;=0,K59=""),"",IF(AND(G59&gt;0,OR(K59&gt;0,K59&lt;0)),SUBTOTAL(2,$K$3:K59),IF(AND(G59=0,OR(K59&gt;0,K59&lt;0)),SUBTOTAL(2,$K$3:K59)+200,""))))&lt;=200,"",2)),IF(K59="","",IF(IF($AE$2="",IF(K59="","",SUBTOTAL(2,$K$3:K59)),IF(AND(G59&gt;=0,K59=""),"",IF(AND(G59&gt;0,OR(K59&gt;0,K59&lt;0)),SUBTOTAL(2,$K$3:K59),IF(AND(G59=0,OR(K59&gt;0,K59&lt;0)),SUBTOTAL(2,$K$3:K59)+200,""))))&lt;=200,"",2)))</f>
        <v/>
      </c>
      <c r="O59" s="467"/>
      <c r="P59" s="364">
        <f t="shared" si="13"/>
        <v>0</v>
      </c>
      <c r="Q59" s="475"/>
      <c r="R59" s="396" t="s">
        <v>16</v>
      </c>
      <c r="S59" s="348" t="s">
        <v>14</v>
      </c>
      <c r="T59" s="400">
        <f>I31</f>
        <v>59280000</v>
      </c>
      <c r="U59" s="398">
        <v>1</v>
      </c>
      <c r="V59" s="401" t="s">
        <v>633</v>
      </c>
      <c r="X59" s="556" t="str">
        <f>IF(예산실적비교표!A49="X","",예산실적비교표!A49)</f>
        <v/>
      </c>
      <c r="Y59" s="750">
        <f>IF($AB$2="",0,IF(X59="",0,예산실적비교표!B49))</f>
        <v>0</v>
      </c>
      <c r="Z59" s="912" t="str">
        <f>IF(예산실적비교표!C49="X","",예산실적비교표!C49)</f>
        <v/>
      </c>
      <c r="AA59" s="537">
        <f>IF($AA$51&lt;&gt;예산실적비교표!$B$3,$Y$8,예산실적비교표!D49)</f>
        <v>12</v>
      </c>
      <c r="AB59" s="556" t="str">
        <f>IF(예산실적비교표!E49="X","",예산실적비교표!E49)</f>
        <v/>
      </c>
      <c r="AC59" s="750">
        <f>IF($AB$2="",0,IF(AB59="",0,예산실적비교표!F49))</f>
        <v>0</v>
      </c>
      <c r="AD59" s="556" t="str">
        <f>IF(예산실적비교표!G49="X","",예산실적비교표!G49)</f>
        <v/>
      </c>
      <c r="AE59" s="750">
        <f>IF($AB$2="",0,IF(AD59="",0,예산실적비교표!H49))</f>
        <v>0</v>
      </c>
      <c r="AF59" s="537">
        <f>IF($AF$51&lt;&gt;예산실적비교표!$B$3,$U$87,예산실적비교표!I49)</f>
        <v>12</v>
      </c>
      <c r="AH59" s="279" t="str">
        <f>세출예산서!L246</f>
        <v xml:space="preserve">  - 생일잔치(수급자)</v>
      </c>
      <c r="AI59" s="1346">
        <f>세출예산서!V246</f>
        <v>3600000</v>
      </c>
      <c r="AJ59" s="1347"/>
      <c r="AP59" s="981" t="str">
        <f>IF(예산실적비교표!AL59&lt;&gt;"",예산실적비교표!AL59,"")</f>
        <v/>
      </c>
      <c r="AQ59" s="982" t="str">
        <f>IF(예산실적비교표!AM59&lt;&gt;"",예산실적비교표!AM59,"")</f>
        <v/>
      </c>
      <c r="AR59" s="983">
        <f>IF(AND(예산실적비교표!AN59&lt;&gt;"",예산실적비교표!AN59&gt;1),예산실적비교표!AN59,0)</f>
        <v>0</v>
      </c>
      <c r="AS59" s="984">
        <f>IF(예산실적비교표!AO59&lt;&gt;"",예산실적비교표!AO59,0)</f>
        <v>0</v>
      </c>
      <c r="AT59" s="971">
        <f t="shared" si="2"/>
        <v>0</v>
      </c>
      <c r="AU59" s="985">
        <f>IF(예산실적비교표!AQ59&lt;&gt;"",예산실적비교표!AQ59,0)</f>
        <v>0</v>
      </c>
      <c r="AV59" s="973">
        <f t="shared" si="5"/>
        <v>0</v>
      </c>
      <c r="AW59" s="974">
        <f>IF(AR59="","",ROUND((AT59*$AT$7)*데이터입력!$AE$14+(AT59*$AU$7)*데이터입력!$AE$14+(AT59*$AU$7*$AV$7)*데이터입력!$AE$14+(AT59*$AW$7)*데이터입력!$AE$14+(AT59*$AX$7)*데이터입력!$AE$14,-1))</f>
        <v>0</v>
      </c>
      <c r="AX59" s="975">
        <f t="shared" si="6"/>
        <v>0</v>
      </c>
      <c r="AY59" s="976">
        <f>IFERROR(IF($AE$2=TRUE,IF(AR59+AS59=0,0,AR59+AS59),ROUND(IF(데이터입력!$AE$14=100%,ROUND(AR59*$AR$1,-3),ROUND(AR59*$AR$1,-3)-ROUND(((AR59*$AR$1)*$AT$4)*(데이터입력!$AE$14-100%)+((AR59*$AR$1)*$AU$4)*(데이터입력!$AE$14-100%)+((AR59*$AR$1)*$AU$4*$AV$4)*(데이터입력!$AE$14-100%)+((AR59*$AR$1)*$AW$4)*(데이터입력!$AE$14-100%),-1)),0)),0)</f>
        <v>0</v>
      </c>
      <c r="AZ59" s="977">
        <f>IFERROR(IF(AR59+AS59=0,0,IF(데이터입력!$AE$12=100%,(AT59),(AT59)+ROUND(AT59*(데이터입력!$AE$12-100%),-1))),0)</f>
        <v>0</v>
      </c>
      <c r="BA59" s="1095" t="str">
        <f>IFERROR(IF(AZ59=0,"",IF(AND(예산실적비교표!AP59&gt;0,예산실적비교표!AW59=0),"",ROUND(AZ59/12,0))),0)</f>
        <v/>
      </c>
      <c r="BB59" s="1096" t="str">
        <f>IF(BA59="","",IF(데이터입력!$O$71="",ROUND(AZ59/12,0),ROUND(데이터입력!$O$71/데이터입력!$Y$8/$BC$11,0)))</f>
        <v/>
      </c>
      <c r="BH59" s="1594" t="s">
        <v>788</v>
      </c>
      <c r="BI59" s="1595"/>
      <c r="BJ59" s="1203" t="s">
        <v>752</v>
      </c>
      <c r="BK59" s="1203" t="s">
        <v>752</v>
      </c>
      <c r="BL59" s="1203"/>
      <c r="BM59" s="1203"/>
      <c r="BN59" s="1203"/>
      <c r="BO59" s="1203"/>
      <c r="BP59" s="1203" t="s">
        <v>752</v>
      </c>
      <c r="BQ59" s="1203"/>
      <c r="BR59" s="1204"/>
    </row>
    <row r="60" spans="1:70" ht="18" customHeight="1" thickBot="1">
      <c r="A60" s="901">
        <f>IF($AM$1=TRUE,IF(K60="","",SUBTOTAL(2,$K$3:K60)),IF(AND(M60="",N60=""),"",IF(N60="",COUNT($M$3:M60),COUNT($N$3:N60)+200)))</f>
        <v>20</v>
      </c>
      <c r="B60" s="303" t="s">
        <v>57</v>
      </c>
      <c r="C60" s="303" t="s">
        <v>545</v>
      </c>
      <c r="D60" s="302">
        <v>501030701</v>
      </c>
      <c r="E60" s="302" t="s">
        <v>83</v>
      </c>
      <c r="F60" s="302" t="s">
        <v>80</v>
      </c>
      <c r="G60" s="304">
        <f>IFERROR(IF($E60="06",VLOOKUP($B60,예산실적비교표!$O$7:$R$200,2,FALSE),0),0)</f>
        <v>24378000</v>
      </c>
      <c r="H60" s="304">
        <f>IFERROR(IF($E60="06",VLOOKUP($C60,세출예산서!$K$3:$X$307,12,FALSE),0),0)</f>
        <v>24378000</v>
      </c>
      <c r="I60" s="304">
        <f>IFERROR(IF($E60="07",VLOOKUP($C60,세출예산서!$K$3:$X$307,13,FALSE),0),0)</f>
        <v>0</v>
      </c>
      <c r="J60" s="304">
        <f>IFERROR(IF($E60="05",VLOOKUP($C60,세출예산서!$K$3:$X$307,14,FALSE),0),0)</f>
        <v>0</v>
      </c>
      <c r="K60" s="304">
        <f t="shared" si="11"/>
        <v>0</v>
      </c>
      <c r="L60" s="305">
        <f>IFERROR(IF($AB$2="",0,ROUNDUP(VLOOKUP($B60,예산실적비교표!$O$7:$R$200,3,FALSE)*$Y$7/($Y$8-(12-$Y$9)),-2)*$Y$8),0)</f>
        <v>24378000</v>
      </c>
      <c r="M60" s="597">
        <f>IF($AM$1=TRUE,IF(K60="","",IF(IF($AE$2="",IF(K60="","",SUBTOTAL(2,$K$3:K60)),IF(AND(G60&gt;=0,K60=""),"",IF(AND(G60&gt;0,OR(K60&gt;0,K60&lt;0)),SUBTOTAL(2,$K$3:K60),IF(AND(G60=0,OR(K60&gt;0,K60&lt;0)),SUBTOTAL(2,$K$3:K60)+200,""))))&gt;200,"",1)),IF(K60="","",IF(IF($AE$2="",IF(K60="","",SUBTOTAL(2,$K$3:K60)),IF(AND(G60&gt;=0,K60=""),"",IF(AND(G60&gt;0,OR(K60&gt;0,K60&lt;0)),SUBTOTAL(2,$K$3:K60),IF(AND(G60=0,OR(K60&gt;0,K60&lt;0)),SUBTOTAL(2,$K$3:K60)+200,""))))&gt;200,"",1)))</f>
        <v>1</v>
      </c>
      <c r="N60" s="161" t="str">
        <f>IF($AM$1=TRUE,IF(K60="","",IF(IF($AE$2="",IF(K60="","",SUBTOTAL(2,$K$3:K60)),IF(AND(G60&gt;=0,K60=""),"",IF(AND(G60&gt;0,OR(K60&gt;0,K60&lt;0)),SUBTOTAL(2,$K$3:K60),IF(AND(G60=0,OR(K60&gt;0,K60&lt;0)),SUBTOTAL(2,$K$3:K60)+200,""))))&lt;=200,"",2)),IF(K60="","",IF(IF($AE$2="",IF(K60="","",SUBTOTAL(2,$K$3:K60)),IF(AND(G60&gt;=0,K60=""),"",IF(AND(G60&gt;0,OR(K60&gt;0,K60&lt;0)),SUBTOTAL(2,$K$3:K60),IF(AND(G60=0,OR(K60&gt;0,K60&lt;0)),SUBTOTAL(2,$K$3:K60)+200,""))))&lt;=200,"",2)))</f>
        <v/>
      </c>
      <c r="O60" s="466"/>
      <c r="P60" s="364">
        <f t="shared" si="13"/>
        <v>0</v>
      </c>
      <c r="Q60" s="487">
        <v>0</v>
      </c>
      <c r="R60" s="396" t="s">
        <v>17</v>
      </c>
      <c r="S60" s="348" t="s">
        <v>14</v>
      </c>
      <c r="T60" s="397">
        <f t="shared" si="12"/>
        <v>0</v>
      </c>
      <c r="U60" s="398">
        <f>IF(Q60=0,$Y$8,Q60)</f>
        <v>12</v>
      </c>
      <c r="V60" s="399" t="s">
        <v>141</v>
      </c>
      <c r="X60" s="556" t="str">
        <f>IF(예산실적비교표!A50="X","",예산실적비교표!A50)</f>
        <v/>
      </c>
      <c r="Y60" s="750">
        <f>IF($AB$2="",0,IF(X60="",0,예산실적비교표!B50))</f>
        <v>0</v>
      </c>
      <c r="Z60" s="912" t="str">
        <f>IF(예산실적비교표!C50="X","",예산실적비교표!C50)</f>
        <v/>
      </c>
      <c r="AA60" s="537">
        <f>IF($AA$51&lt;&gt;예산실적비교표!$B$3,$Y$8,예산실적비교표!D50)</f>
        <v>12</v>
      </c>
      <c r="AB60" s="556" t="str">
        <f>IF(예산실적비교표!E50="X","",예산실적비교표!E50)</f>
        <v/>
      </c>
      <c r="AC60" s="750">
        <f>IF($AB$2="",0,IF(AB60="",0,예산실적비교표!F50))</f>
        <v>0</v>
      </c>
      <c r="AD60" s="556" t="str">
        <f>IF(예산실적비교표!G50="X","",예산실적비교표!G50)</f>
        <v/>
      </c>
      <c r="AE60" s="750">
        <f>IF($AB$2="",0,IF(AD60="",0,예산실적비교표!H50))</f>
        <v>0</v>
      </c>
      <c r="AF60" s="537">
        <f>IF($AF$51&lt;&gt;예산실적비교표!$B$3,$U$87,예산실적비교표!I50)</f>
        <v>12</v>
      </c>
      <c r="AH60" s="279" t="str">
        <f>세출예산서!L247</f>
        <v xml:space="preserve">  - 가족내방행사</v>
      </c>
      <c r="AI60" s="1346">
        <f>세출예산서!V247</f>
        <v>1000000</v>
      </c>
      <c r="AJ60" s="1347"/>
      <c r="AP60" s="981" t="str">
        <f>IF(예산실적비교표!AL60&lt;&gt;"",예산실적비교표!AL60,"")</f>
        <v/>
      </c>
      <c r="AQ60" s="982" t="str">
        <f>IF(예산실적비교표!AM60&lt;&gt;"",예산실적비교표!AM60,"")</f>
        <v/>
      </c>
      <c r="AR60" s="983">
        <f>IF(AND(예산실적비교표!AN60&lt;&gt;"",예산실적비교표!AN60&gt;1),예산실적비교표!AN60,0)</f>
        <v>0</v>
      </c>
      <c r="AS60" s="984">
        <f>IF(예산실적비교표!AO60&lt;&gt;"",예산실적비교표!AO60,0)</f>
        <v>0</v>
      </c>
      <c r="AT60" s="971">
        <f>IFERROR(IF(AND(AP60&lt;&gt;"",(AR60+AS60)=0),1,ROUND((AR60+AS60)*$AR$1,-3)),0)</f>
        <v>0</v>
      </c>
      <c r="AU60" s="985">
        <f>IF(예산실적비교표!AQ60&lt;&gt;"",예산실적비교표!AQ60,0)</f>
        <v>0</v>
      </c>
      <c r="AV60" s="973">
        <f t="shared" si="5"/>
        <v>0</v>
      </c>
      <c r="AW60" s="974">
        <f>IF(AR60="","",ROUND((AT60*$AT$7)*데이터입력!$AE$14+(AT60*$AU$7)*데이터입력!$AE$14+(AT60*$AU$7*$AV$7)*데이터입력!$AE$14+(AT60*$AW$7)*데이터입력!$AE$14+(AT60*$AX$7)*데이터입력!$AE$14,-1))</f>
        <v>0</v>
      </c>
      <c r="AX60" s="975">
        <f t="shared" si="6"/>
        <v>0</v>
      </c>
      <c r="AY60" s="976">
        <f>IFERROR(IF($AE$2=TRUE,IF(AR60+AS60=0,0,AR60+AS60),ROUND(IF(데이터입력!$AE$14=100%,ROUND(AR60*$AR$1,-3),ROUND(AR60*$AR$1,-3)-ROUND(((AR60*$AR$1)*$AT$4)*(데이터입력!$AE$14-100%)+((AR60*$AR$1)*$AU$4)*(데이터입력!$AE$14-100%)+((AR60*$AR$1)*$AU$4*$AV$4)*(데이터입력!$AE$14-100%)+((AR60*$AR$1)*$AW$4)*(데이터입력!$AE$14-100%),-1)),0)),0)</f>
        <v>0</v>
      </c>
      <c r="AZ60" s="977">
        <f>IFERROR(IF(AR60+AS60=0,0,IF(데이터입력!$AE$12=100%,(AT60),(AT60)+ROUND(AT60*(데이터입력!$AE$12-100%),-1))),0)</f>
        <v>0</v>
      </c>
      <c r="BA60" s="1095" t="str">
        <f>IFERROR(IF(AZ60=0,"",IF(AND(예산실적비교표!AP60&gt;0,예산실적비교표!AW60=0),"",ROUND(AZ60/12,0))),0)</f>
        <v/>
      </c>
      <c r="BB60" s="1096" t="str">
        <f>IF(BA60="","",IF(데이터입력!$O$71="",ROUND(AZ60/12,0),ROUND(데이터입력!$O$71/데이터입력!$Y$8/$BC$11,0)))</f>
        <v/>
      </c>
      <c r="BH60" s="1581" t="s">
        <v>227</v>
      </c>
      <c r="BI60" s="1582"/>
      <c r="BJ60" s="1585" t="s">
        <v>752</v>
      </c>
      <c r="BK60" s="1585"/>
      <c r="BL60" s="1585" t="s">
        <v>789</v>
      </c>
      <c r="BM60" s="1585"/>
      <c r="BN60" s="1201" t="s">
        <v>786</v>
      </c>
      <c r="BO60" s="1585"/>
      <c r="BP60" s="1585"/>
      <c r="BQ60" s="1585"/>
      <c r="BR60" s="1587"/>
    </row>
    <row r="61" spans="1:70" ht="18" customHeight="1" thickTop="1" thickBot="1">
      <c r="A61" s="901">
        <f>IF($AM$1=TRUE,IF(K61="","",SUBTOTAL(2,$K$3:K61)),IF(AND(M61="",N61=""),"",IF(N61="",COUNT($M$3:M61),COUNT($N$3:N61)+200)))</f>
        <v>21</v>
      </c>
      <c r="B61" s="303" t="s">
        <v>58</v>
      </c>
      <c r="C61" s="303" t="s">
        <v>546</v>
      </c>
      <c r="D61" s="302">
        <v>502010101</v>
      </c>
      <c r="E61" s="302" t="s">
        <v>83</v>
      </c>
      <c r="F61" s="302" t="s">
        <v>80</v>
      </c>
      <c r="G61" s="304">
        <f>IFERROR(IF($E61="06",VLOOKUP($B61,예산실적비교표!$O$7:$R$200,2,FALSE),0),0)</f>
        <v>30000000</v>
      </c>
      <c r="H61" s="304">
        <f>IFERROR(IF($E61="06",VLOOKUP($C61,세출예산서!$K$3:$X$307,12,FALSE),0),0)</f>
        <v>30000000</v>
      </c>
      <c r="I61" s="304">
        <f>IFERROR(IF($E61="07",VLOOKUP($C61,세출예산서!$K$3:$X$307,13,FALSE),0),0)</f>
        <v>0</v>
      </c>
      <c r="J61" s="304">
        <f>IFERROR(IF($E61="05",VLOOKUP($C61,세출예산서!$K$3:$X$307,14,FALSE),0),0)</f>
        <v>0</v>
      </c>
      <c r="K61" s="304">
        <f t="shared" si="11"/>
        <v>0</v>
      </c>
      <c r="L61" s="305">
        <f>IFERROR(IF($AB$2="",0,ROUNDUP(VLOOKUP($B61,예산실적비교표!$O$7:$R$200,3,FALSE)*$Y$7/($Y$8-(12-$Y$9)),-2)*$Y$8),0)</f>
        <v>30000000</v>
      </c>
      <c r="M61" s="597">
        <f>IF($AM$1=TRUE,IF(K61="","",IF(IF($AE$2="",IF(K61="","",SUBTOTAL(2,$K$3:K61)),IF(AND(G61&gt;=0,K61=""),"",IF(AND(G61&gt;0,OR(K61&gt;0,K61&lt;0)),SUBTOTAL(2,$K$3:K61),IF(AND(G61=0,OR(K61&gt;0,K61&lt;0)),SUBTOTAL(2,$K$3:K61)+200,""))))&gt;200,"",1)),IF(K61="","",IF(IF($AE$2="",IF(K61="","",SUBTOTAL(2,$K$3:K61)),IF(AND(G61&gt;=0,K61=""),"",IF(AND(G61&gt;0,OR(K61&gt;0,K61&lt;0)),SUBTOTAL(2,$K$3:K61),IF(AND(G61=0,OR(K61&gt;0,K61&lt;0)),SUBTOTAL(2,$K$3:K61)+200,""))))&gt;200,"",1)))</f>
        <v>1</v>
      </c>
      <c r="N61" s="161" t="str">
        <f>IF($AM$1=TRUE,IF(K61="","",IF(IF($AE$2="",IF(K61="","",SUBTOTAL(2,$K$3:K61)),IF(AND(G61&gt;=0,K61=""),"",IF(AND(G61&gt;0,OR(K61&gt;0,K61&lt;0)),SUBTOTAL(2,$K$3:K61),IF(AND(G61=0,OR(K61&gt;0,K61&lt;0)),SUBTOTAL(2,$K$3:K61)+200,""))))&lt;=200,"",2)),IF(K61="","",IF(IF($AE$2="",IF(K61="","",SUBTOTAL(2,$K$3:K61)),IF(AND(G61&gt;=0,K61=""),"",IF(AND(G61&gt;0,OR(K61&gt;0,K61&lt;0)),SUBTOTAL(2,$K$3:K61),IF(AND(G61=0,OR(K61&gt;0,K61&lt;0)),SUBTOTAL(2,$K$3:K61)+200,""))))&lt;=200,"",2)))</f>
        <v/>
      </c>
      <c r="O61" s="466"/>
      <c r="P61" s="364">
        <f>IFERROR(IF(O61="",VLOOKUP(R61,$B$29:$L$34,11,FALSE),O61),0)</f>
        <v>0</v>
      </c>
      <c r="Q61" s="475"/>
      <c r="R61" s="396" t="s">
        <v>31</v>
      </c>
      <c r="S61" s="348" t="s">
        <v>81</v>
      </c>
      <c r="T61" s="397">
        <f t="shared" ref="T61" si="14">IF(O61="",P61,O61)</f>
        <v>0</v>
      </c>
      <c r="U61" s="398">
        <v>1</v>
      </c>
      <c r="V61" s="360" t="s">
        <v>126</v>
      </c>
      <c r="X61" s="377" t="s">
        <v>242</v>
      </c>
      <c r="Y61" s="752">
        <f>SUM(Y62:Y71)</f>
        <v>2251000</v>
      </c>
      <c r="Z61" s="366" t="s">
        <v>184</v>
      </c>
      <c r="AA61" s="366" t="s">
        <v>214</v>
      </c>
      <c r="AB61" s="345" t="s">
        <v>187</v>
      </c>
      <c r="AC61" s="748">
        <f>ROUND(세출예산서!$Z$222/$U$88,-3)</f>
        <v>3000000</v>
      </c>
      <c r="AD61" s="345" t="s">
        <v>172</v>
      </c>
      <c r="AE61" s="748">
        <f>SUM(AE62:AE71)</f>
        <v>1081516977</v>
      </c>
      <c r="AF61" s="366" t="s">
        <v>214</v>
      </c>
      <c r="AH61" s="279" t="str">
        <f>세출예산서!L248</f>
        <v xml:space="preserve">  - 지역사회참여</v>
      </c>
      <c r="AI61" s="1346">
        <f>세출예산서!V248</f>
        <v>400000</v>
      </c>
      <c r="AJ61" s="1347"/>
      <c r="AP61" s="1556" t="s">
        <v>465</v>
      </c>
      <c r="AQ61" s="1557"/>
      <c r="AR61" s="1009">
        <f>SUM(AR11:AR60)</f>
        <v>7620000</v>
      </c>
      <c r="AS61" s="1009">
        <f>SUM(AS11:AS60)</f>
        <v>0</v>
      </c>
      <c r="AT61" s="1010">
        <f>IF(AR61+AS61=0,0,SUM(AT11:AT60))</f>
        <v>7849000</v>
      </c>
      <c r="AU61" s="1011">
        <f>SUM(AU11:AU60)</f>
        <v>0</v>
      </c>
      <c r="AV61" s="1012">
        <f>SUM(AV11:AV60)</f>
        <v>0</v>
      </c>
      <c r="AW61" s="1012">
        <f>SUM(AW11:AW60)</f>
        <v>845920</v>
      </c>
      <c r="AX61" s="1010">
        <f>IF(AR61+AS61=0,0,SUM(AX11:AX60))</f>
        <v>8694920</v>
      </c>
      <c r="AY61" s="1013">
        <f>SUM(AY11:AY53)</f>
        <v>7849000</v>
      </c>
      <c r="AZ61" s="1013">
        <f>SUM(AZ11:AZ53)</f>
        <v>7849000</v>
      </c>
      <c r="BA61" s="1014"/>
      <c r="BB61" s="1014"/>
      <c r="BC61" s="161"/>
      <c r="BD61" s="161"/>
      <c r="BH61" s="1607"/>
      <c r="BI61" s="1608"/>
      <c r="BJ61" s="1606"/>
      <c r="BK61" s="1606"/>
      <c r="BL61" s="1606"/>
      <c r="BM61" s="1606"/>
      <c r="BN61" s="1606" t="s">
        <v>800</v>
      </c>
      <c r="BO61" s="1606"/>
      <c r="BP61" s="1606"/>
      <c r="BQ61" s="1606"/>
      <c r="BR61" s="1593"/>
    </row>
    <row r="62" spans="1:70" ht="25.5" thickTop="1" thickBot="1">
      <c r="A62" s="901">
        <f>IF($AM$1=TRUE,IF(K62="","",SUBTOTAL(2,$K$3:K62)),IF(AND(M62="",N62=""),"",IF(N62="",COUNT($M$3:M62),COUNT($N$3:N62)+200)))</f>
        <v>22</v>
      </c>
      <c r="B62" s="303" t="s">
        <v>59</v>
      </c>
      <c r="C62" s="303" t="s">
        <v>547</v>
      </c>
      <c r="D62" s="302">
        <v>502010201</v>
      </c>
      <c r="E62" s="302" t="s">
        <v>83</v>
      </c>
      <c r="F62" s="302" t="s">
        <v>80</v>
      </c>
      <c r="G62" s="304">
        <f>IFERROR(IF($E62="06",VLOOKUP($B62,예산실적비교표!$O$7:$R$200,2,FALSE),0),0)</f>
        <v>16200000</v>
      </c>
      <c r="H62" s="304">
        <f>IFERROR(IF($E62="06",VLOOKUP($C62,세출예산서!$K$3:$X$307,12,FALSE),0),0)</f>
        <v>16200000</v>
      </c>
      <c r="I62" s="304">
        <f>IFERROR(IF($E62="07",VLOOKUP($C62,세출예산서!$K$3:$X$307,13,FALSE),0),0)</f>
        <v>0</v>
      </c>
      <c r="J62" s="304">
        <f>IFERROR(IF($E62="05",VLOOKUP($C62,세출예산서!$K$3:$X$307,14,FALSE),0),0)</f>
        <v>0</v>
      </c>
      <c r="K62" s="304">
        <f t="shared" si="11"/>
        <v>0</v>
      </c>
      <c r="L62" s="305">
        <f>IFERROR(IF($AB$2="",0,ROUNDUP(VLOOKUP($B62,예산실적비교표!$O$7:$R$200,3,FALSE)*$Y$7/($Y$8-(12-$Y$9)),-2)*$Y$8),0)</f>
        <v>16200000</v>
      </c>
      <c r="M62" s="597">
        <f>IF($AM$1=TRUE,IF(K62="","",IF(IF($AE$2="",IF(K62="","",SUBTOTAL(2,$K$3:K62)),IF(AND(G62&gt;=0,K62=""),"",IF(AND(G62&gt;0,OR(K62&gt;0,K62&lt;0)),SUBTOTAL(2,$K$3:K62),IF(AND(G62=0,OR(K62&gt;0,K62&lt;0)),SUBTOTAL(2,$K$3:K62)+200,""))))&gt;200,"",1)),IF(K62="","",IF(IF($AE$2="",IF(K62="","",SUBTOTAL(2,$K$3:K62)),IF(AND(G62&gt;=0,K62=""),"",IF(AND(G62&gt;0,OR(K62&gt;0,K62&lt;0)),SUBTOTAL(2,$K$3:K62),IF(AND(G62=0,OR(K62&gt;0,K62&lt;0)),SUBTOTAL(2,$K$3:K62)+200,""))))&gt;200,"",1)))</f>
        <v>1</v>
      </c>
      <c r="N62" s="161" t="str">
        <f>IF($AM$1=TRUE,IF(K62="","",IF(IF($AE$2="",IF(K62="","",SUBTOTAL(2,$K$3:K62)),IF(AND(G62&gt;=0,K62=""),"",IF(AND(G62&gt;0,OR(K62&gt;0,K62&lt;0)),SUBTOTAL(2,$K$3:K62),IF(AND(G62=0,OR(K62&gt;0,K62&lt;0)),SUBTOTAL(2,$K$3:K62)+200,""))))&lt;=200,"",2)),IF(K62="","",IF(IF($AE$2="",IF(K62="","",SUBTOTAL(2,$K$3:K62)),IF(AND(G62&gt;=0,K62=""),"",IF(AND(G62&gt;0,OR(K62&gt;0,K62&lt;0)),SUBTOTAL(2,$K$3:K62),IF(AND(G62=0,OR(K62&gt;0,K62&lt;0)),SUBTOTAL(2,$K$3:K62)+200,""))))&lt;=200,"",2)))</f>
        <v/>
      </c>
      <c r="O62" s="468"/>
      <c r="P62" s="383">
        <f>IFERROR(IF(VLOOKUP(R62,$B$29:$L$34,11,FALSE)&gt;0,VLOOKUP(R62,$B$29:$L$34,6,FALSE),IF(SUM(I29:I33)&gt;0,10000,0)),0)</f>
        <v>10000</v>
      </c>
      <c r="Q62" s="488">
        <v>0</v>
      </c>
      <c r="R62" s="402" t="s">
        <v>36</v>
      </c>
      <c r="S62" s="403" t="s">
        <v>81</v>
      </c>
      <c r="T62" s="404">
        <f>IF(O62="",ROUNDUP(P62,-3),O62)</f>
        <v>10000</v>
      </c>
      <c r="U62" s="398">
        <f>IF(Q62=0,IF($Y$8&lt;7,1,2),Q62)</f>
        <v>2</v>
      </c>
      <c r="V62" s="405" t="s">
        <v>126</v>
      </c>
      <c r="X62" s="911" t="str">
        <f>IF(예산실적비교표!A52="X","",예산실적비교표!A52)</f>
        <v>재료비 등</v>
      </c>
      <c r="Y62" s="747">
        <f>ROUND((AI54-SUM(AI56:AJ64))/AA62,-3)</f>
        <v>266000</v>
      </c>
      <c r="Z62" s="912" t="str">
        <f>IF(예산실적비교표!C52="X","",예산실적비교표!C52)</f>
        <v/>
      </c>
      <c r="AA62" s="537">
        <f>IF($Y$8&lt;&gt;예산실적비교표!$B$3,$U$90,예산실적비교표!D52)</f>
        <v>12</v>
      </c>
      <c r="AB62" s="911" t="str">
        <f>IF(예산실적비교표!E52="X","",예산실적비교표!E52)</f>
        <v>상비약구입 등</v>
      </c>
      <c r="AC62" s="756">
        <f>AC61-SUM(AC63:AC71)</f>
        <v>200000</v>
      </c>
      <c r="AD62" s="911" t="str">
        <f>IF(예산실적비교표!G52="X","",예산실적비교표!G52)</f>
        <v>잡지출</v>
      </c>
      <c r="AE62" s="756">
        <f>ROUND((AI65-SUM(AI67:AJ75)),0)</f>
        <v>1081016977</v>
      </c>
      <c r="AF62" s="545"/>
      <c r="AH62" s="279" t="str">
        <f>세출예산서!L249</f>
        <v xml:space="preserve">  - </v>
      </c>
      <c r="AI62" s="1346">
        <f>세출예산서!V249</f>
        <v>0</v>
      </c>
      <c r="AJ62" s="1347"/>
      <c r="AP62" s="1015" t="s">
        <v>454</v>
      </c>
      <c r="AQ62" s="1016" t="s">
        <v>720</v>
      </c>
      <c r="AR62" s="1016" t="s">
        <v>250</v>
      </c>
      <c r="AS62" s="1017" t="s">
        <v>431</v>
      </c>
      <c r="AT62" s="1018" t="s">
        <v>459</v>
      </c>
      <c r="AU62" s="1019" t="s">
        <v>432</v>
      </c>
      <c r="AV62" s="1016" t="s">
        <v>457</v>
      </c>
      <c r="AW62" s="1017" t="s">
        <v>458</v>
      </c>
      <c r="AX62" s="1018" t="s">
        <v>460</v>
      </c>
      <c r="AY62" s="1018" t="s">
        <v>690</v>
      </c>
      <c r="AZ62" s="1018" t="s">
        <v>691</v>
      </c>
      <c r="BA62" s="1020" t="s">
        <v>461</v>
      </c>
      <c r="BB62" s="1021" t="s">
        <v>462</v>
      </c>
      <c r="BC62" s="1022" t="s">
        <v>463</v>
      </c>
      <c r="BD62" s="966" t="s">
        <v>464</v>
      </c>
      <c r="BH62" s="1583"/>
      <c r="BI62" s="1584"/>
      <c r="BJ62" s="1586"/>
      <c r="BK62" s="1586"/>
      <c r="BL62" s="1586"/>
      <c r="BM62" s="1586"/>
      <c r="BN62" s="1586"/>
      <c r="BO62" s="1586"/>
      <c r="BP62" s="1586"/>
      <c r="BQ62" s="1586"/>
      <c r="BR62" s="1588"/>
    </row>
    <row r="63" spans="1:70" ht="18" thickTop="1" thickBot="1">
      <c r="A63" s="901">
        <f>IF($AM$1=TRUE,IF(K63="","",SUBTOTAL(2,$K$3:K63)),IF(AND(M63="",N63=""),"",IF(N63="",COUNT($M$3:M63),COUNT($N$3:N63)+200)))</f>
        <v>23</v>
      </c>
      <c r="B63" s="303" t="s">
        <v>60</v>
      </c>
      <c r="C63" s="303" t="s">
        <v>548</v>
      </c>
      <c r="D63" s="302">
        <v>502010301</v>
      </c>
      <c r="E63" s="302" t="s">
        <v>83</v>
      </c>
      <c r="F63" s="302" t="s">
        <v>80</v>
      </c>
      <c r="G63" s="304">
        <f>IFERROR(IF($E63="06",VLOOKUP($B63,예산실적비교표!$O$7:$R$200,2,FALSE),0),0)</f>
        <v>16800000</v>
      </c>
      <c r="H63" s="304">
        <f>IFERROR(IF($E63="06",VLOOKUP($C63,세출예산서!$K$3:$X$307,12,FALSE),0),0)</f>
        <v>16800000</v>
      </c>
      <c r="I63" s="304">
        <f>IFERROR(IF($E63="07",VLOOKUP($C63,세출예산서!$K$3:$X$307,13,FALSE),0),0)</f>
        <v>0</v>
      </c>
      <c r="J63" s="304">
        <f>IFERROR(IF($E63="05",VLOOKUP($C63,세출예산서!$K$3:$X$307,14,FALSE),0),0)</f>
        <v>0</v>
      </c>
      <c r="K63" s="304">
        <f t="shared" si="11"/>
        <v>0</v>
      </c>
      <c r="L63" s="305">
        <f>IFERROR(IF($AB$2="",0,ROUNDUP(VLOOKUP($B63,예산실적비교표!$O$7:$R$200,3,FALSE)*$Y$7/($Y$8-(12-$Y$9)),-2)*$Y$8),0)</f>
        <v>16800000</v>
      </c>
      <c r="M63" s="597">
        <f>IF($AM$1=TRUE,IF(K63="","",IF(IF($AE$2="",IF(K63="","",SUBTOTAL(2,$K$3:K63)),IF(AND(G63&gt;=0,K63=""),"",IF(AND(G63&gt;0,OR(K63&gt;0,K63&lt;0)),SUBTOTAL(2,$K$3:K63),IF(AND(G63=0,OR(K63&gt;0,K63&lt;0)),SUBTOTAL(2,$K$3:K63)+200,""))))&gt;200,"",1)),IF(K63="","",IF(IF($AE$2="",IF(K63="","",SUBTOTAL(2,$K$3:K63)),IF(AND(G63&gt;=0,K63=""),"",IF(AND(G63&gt;0,OR(K63&gt;0,K63&lt;0)),SUBTOTAL(2,$K$3:K63),IF(AND(G63=0,OR(K63&gt;0,K63&lt;0)),SUBTOTAL(2,$K$3:K63)+200,""))))&gt;200,"",1)))</f>
        <v>1</v>
      </c>
      <c r="N63" s="161" t="str">
        <f>IF($AM$1=TRUE,IF(K63="","",IF(IF($AE$2="",IF(K63="","",SUBTOTAL(2,$K$3:K63)),IF(AND(G63&gt;=0,K63=""),"",IF(AND(G63&gt;0,OR(K63&gt;0,K63&lt;0)),SUBTOTAL(2,$K$3:K63),IF(AND(G63=0,OR(K63&gt;0,K63&lt;0)),SUBTOTAL(2,$K$3:K63)+200,""))))&lt;=200,"",2)),IF(K63="","",IF(IF($AE$2="",IF(K63="","",SUBTOTAL(2,$K$3:K63)),IF(AND(G63&gt;=0,K63=""),"",IF(AND(G63&gt;0,OR(K63&gt;0,K63&lt;0)),SUBTOTAL(2,$K$3:K63),IF(AND(G63=0,OR(K63&gt;0,K63&lt;0)),SUBTOTAL(2,$K$3:K63)+200,""))))&lt;=200,"",2)))</f>
        <v/>
      </c>
      <c r="O63" s="465"/>
      <c r="P63" s="364">
        <f>IFERROR(IF(VLOOKUP(R63,$B$35:$L$40,11,FALSE)&gt;0,IF(VLOOKUP(R63,$B$35:$L$40,6,FALSE)&gt;VLOOKUP(R63,$B$35:$L$40,11,FALSE),VLOOKUP(R63,$B$35:$L$40,6,FALSE),VLOOKUP(R63,$B$35:$L$40,11,FALSE)),IF(VLOOKUP(R63,$B$35:$L$40,6,FALSE)&gt;0,VLOOKUP(R63,$B$35:$L$40,6,FALSE),0)),0)</f>
        <v>0</v>
      </c>
      <c r="Q63" s="474">
        <v>0</v>
      </c>
      <c r="R63" s="406" t="s">
        <v>18</v>
      </c>
      <c r="S63" s="407" t="s">
        <v>19</v>
      </c>
      <c r="T63" s="408">
        <f t="shared" ref="T63:T67" si="15">IF(O63="",P63,O63)</f>
        <v>0</v>
      </c>
      <c r="U63" s="409">
        <f>IF(Q63=0,$Y$8,Q63)</f>
        <v>12</v>
      </c>
      <c r="V63" s="410" t="s">
        <v>141</v>
      </c>
      <c r="X63" s="556" t="str">
        <f>IF(예산실적비교표!A53="X","",예산실적비교표!A53)</f>
        <v>웃음치료 등</v>
      </c>
      <c r="Y63" s="750">
        <f>IF($AB$2="",0,IF(X63="",0,IF(예산실적비교표!B53=0,ROUND($AI$54/AA63*40%,-3),예산실적비교표!B53)))</f>
        <v>240000</v>
      </c>
      <c r="Z63" s="912" t="str">
        <f>IF(예산실적비교표!C53="X","",예산실적비교표!C53)</f>
        <v/>
      </c>
      <c r="AA63" s="537">
        <f>IF($Y$8&lt;&gt;예산실적비교표!$B$3,$U$90,예산실적비교표!D53)</f>
        <v>12</v>
      </c>
      <c r="AB63" s="556" t="str">
        <f>IF(예산실적비교표!E53="X","",예산실적비교표!E53)</f>
        <v>진료비 등</v>
      </c>
      <c r="AC63" s="750">
        <v>1800000</v>
      </c>
      <c r="AD63" s="556" t="str">
        <f>IF(예산실적비교표!G53="X","",예산실적비교표!G53)</f>
        <v>의료비대납외</v>
      </c>
      <c r="AE63" s="750">
        <v>400000</v>
      </c>
      <c r="AF63" s="537">
        <f>IF($Y$8&lt;&gt;예산실적비교표!$B$3,$Y$8,예산실적비교표!I53)</f>
        <v>12</v>
      </c>
      <c r="AH63" s="279" t="str">
        <f>세출예산서!L250</f>
        <v xml:space="preserve">  - </v>
      </c>
      <c r="AI63" s="1346">
        <f>세출예산서!V250</f>
        <v>0</v>
      </c>
      <c r="AJ63" s="1347"/>
      <c r="AP63" s="1035" t="str">
        <f>IF(예산실적비교표!AL63&lt;&gt;"",예산실적비교표!AL63,"")</f>
        <v>전유나</v>
      </c>
      <c r="AQ63" s="1036" t="str">
        <f>IF(예산실적비교표!AM63&lt;&gt;"",예산실적비교표!AM63,"")</f>
        <v>사회복지사</v>
      </c>
      <c r="AR63" s="1037">
        <v>2625866</v>
      </c>
      <c r="AS63" s="1038">
        <f>IF(예산실적비교표!AO63&lt;&gt;"",예산실적비교표!AO63,0)</f>
        <v>0</v>
      </c>
      <c r="AT63" s="971">
        <f>IFERROR(IF(AND(AP63&lt;&gt;"",(AR63+AS63)=0),1,ROUND((AR63+AS63)*$AR$1,-3)),0)</f>
        <v>2705000</v>
      </c>
      <c r="AU63" s="1039">
        <f>IF(예산실적비교표!AQ63&lt;&gt;"",예산실적비교표!AQ63,0)</f>
        <v>0</v>
      </c>
      <c r="AV63" s="973">
        <f t="shared" ref="AV63" si="16">IF(BB63="",0,BB63)</f>
        <v>225417</v>
      </c>
      <c r="AW63" s="974">
        <f>IF(AR63="",0,ROUND((AT63*$AT$7)*데이터입력!$AF$14+(AT63*$AU$7)*데이터입력!$AF$14+(AT63*$AU$7*$AV$7)*데이터입력!$AF$14+(AT63*$AW$7)*데이터입력!$AF$14+(AT63*$AX$7)*데이터입력!$AF$14,-1))</f>
        <v>378990</v>
      </c>
      <c r="AX63" s="975">
        <f t="shared" ref="AX63" si="17">IF(SUM(AT63:AW63)=0,0,SUM(AT63:AW63))</f>
        <v>3309407</v>
      </c>
      <c r="AY63" s="976">
        <f>IFERROR(IF($AE$2=TRUE,IF(AR63+AS63=0,0,AR63+AS63),ROUND(IF(데이터입력!$AF$14=100%,ROUND(AR63*$AR$1,-3),ROUND(AR63*$AR$1,-3)-ROUND(((AR63*$AR$1)*$AT$4)*(데이터입력!$AF$14-100%)+((AR63*$AR$1)*$AU$4)*(데이터입력!$AF$14-100%)+((AR63*$AR$1)*$AU$4*$AV$4)*(데이터입력!$AF$14-100%)+((AR63*$AR$1)*$AW$4)*(데이터입력!$AF$14-100%),-1)),0)),0)</f>
        <v>2626150</v>
      </c>
      <c r="AZ63" s="977">
        <f>IFERROR(IF(AR63+AS63=0,0,IF(데이터입력!$AF$12=100%,(AT63),(AT63)+ROUND(AT63*(데이터입력!$AF$12-100%),-1))),0)</f>
        <v>2705000</v>
      </c>
      <c r="BA63" s="1097">
        <f>IFERROR(IF(AZ63=0,"",IF(AND(예산실적비교표!AP63&gt;0,예산실적비교표!AW63=0),"",ROUND(AZ63/12,0))),"")</f>
        <v>225417</v>
      </c>
      <c r="BB63" s="1096">
        <f>IF(BA63="","",IF(데이터입력!$O$70="",ROUND(AZ63/12,0),ROUND(데이터입력!$O$70/데이터입력!$Y$8/$BC$63,0)))</f>
        <v>225417</v>
      </c>
      <c r="BC63" s="980">
        <f>COUNT($BA$63:$BA$262)</f>
        <v>27</v>
      </c>
      <c r="BD63" s="980">
        <f>IF((COUNTA(AP63:AP262)-COUNTIF(AP63:AP262,""))&lt;0,COUNTA(AP63:AP262),COUNTA(AP63:AP262)-COUNTIF(AP63:AP262,""))</f>
        <v>27</v>
      </c>
    </row>
    <row r="64" spans="1:70" ht="18" thickTop="1" thickBot="1">
      <c r="A64" s="901">
        <f>IF($AM$1=TRUE,IF(K64="","",SUBTOTAL(2,$K$3:K64)),IF(AND(M64="",N64=""),"",IF(N64="",COUNT($M$3:M64),COUNT($N$3:N64)+200)))</f>
        <v>24</v>
      </c>
      <c r="B64" s="303" t="s">
        <v>61</v>
      </c>
      <c r="C64" s="303" t="s">
        <v>549</v>
      </c>
      <c r="D64" s="302">
        <v>503010101</v>
      </c>
      <c r="E64" s="302" t="s">
        <v>83</v>
      </c>
      <c r="F64" s="302" t="s">
        <v>80</v>
      </c>
      <c r="G64" s="304">
        <f>IFERROR(IF($E64="06",VLOOKUP($B64,예산실적비교표!$O$7:$R$200,2,FALSE),0),0)</f>
        <v>165735662</v>
      </c>
      <c r="H64" s="304">
        <f>IFERROR(IF($E64="06",VLOOKUP($C64,세출예산서!$K$3:$X$307,12,FALSE),0),0)</f>
        <v>165735662</v>
      </c>
      <c r="I64" s="304">
        <f>IFERROR(IF($E64="07",VLOOKUP($C64,세출예산서!$K$3:$X$307,13,FALSE),0),0)</f>
        <v>0</v>
      </c>
      <c r="J64" s="304">
        <f>IFERROR(IF($E64="05",VLOOKUP($C64,세출예산서!$K$3:$X$307,14,FALSE),0),0)</f>
        <v>0</v>
      </c>
      <c r="K64" s="304">
        <f t="shared" si="11"/>
        <v>0</v>
      </c>
      <c r="L64" s="305">
        <f>IFERROR(IF($AB$2="",0,ROUNDUP(VLOOKUP($B64,예산실적비교표!$N$7:$R$200,4,FALSE)/($Y$8-(12-$Y$9)),-2)*$Y$8),0)</f>
        <v>0</v>
      </c>
      <c r="M64" s="597">
        <f>IF($AM$1=TRUE,IF(K64="","",IF(IF($AE$2="",IF(K64="","",SUBTOTAL(2,$K$3:K64)),IF(AND(G64&gt;=0,K64=""),"",IF(AND(G64&gt;0,OR(K64&gt;0,K64&lt;0)),SUBTOTAL(2,$K$3:K64),IF(AND(G64=0,OR(K64&gt;0,K64&lt;0)),SUBTOTAL(2,$K$3:K64)+200,""))))&gt;200,"",1)),IF(K64="","",IF(IF($AE$2="",IF(K64="","",SUBTOTAL(2,$K$3:K64)),IF(AND(G64&gt;=0,K64=""),"",IF(AND(G64&gt;0,OR(K64&gt;0,K64&lt;0)),SUBTOTAL(2,$K$3:K64),IF(AND(G64=0,OR(K64&gt;0,K64&lt;0)),SUBTOTAL(2,$K$3:K64)+200,""))))&gt;200,"",1)))</f>
        <v>1</v>
      </c>
      <c r="N64" s="161" t="str">
        <f>IF($AM$1=TRUE,IF(K64="","",IF(IF($AE$2="",IF(K64="","",SUBTOTAL(2,$K$3:K64)),IF(AND(G64&gt;=0,K64=""),"",IF(AND(G64&gt;0,OR(K64&gt;0,K64&lt;0)),SUBTOTAL(2,$K$3:K64),IF(AND(G64=0,OR(K64&gt;0,K64&lt;0)),SUBTOTAL(2,$K$3:K64)+200,""))))&lt;=200,"",2)),IF(K64="","",IF(IF($AE$2="",IF(K64="","",SUBTOTAL(2,$K$3:K64)),IF(AND(G64&gt;=0,K64=""),"",IF(AND(G64&gt;0,OR(K64&gt;0,K64&lt;0)),SUBTOTAL(2,$K$3:K64),IF(AND(G64=0,OR(K64&gt;0,K64&lt;0)),SUBTOTAL(2,$K$3:K64)+200,""))))&lt;=200,"",2)))</f>
        <v/>
      </c>
      <c r="O64" s="466"/>
      <c r="P64" s="364">
        <f>IFERROR(IF(VLOOKUP(R64,$B$35:$L$40,11,FALSE)&gt;0,IF(VLOOKUP(R64,$B$35:$L$40,6,FALSE)&gt;VLOOKUP(R64,$B$35:$L$40,11,FALSE),VLOOKUP(R64,$B$35:$L$40,6,FALSE),VLOOKUP(R64,$B$35:$L$40,11,FALSE)),IF(VLOOKUP(R64,$B$35:$L$40,6,FALSE)&gt;0,VLOOKUP(R64,$B$35:$L$40,6,FALSE),0)),0)</f>
        <v>0</v>
      </c>
      <c r="Q64" s="487">
        <v>0</v>
      </c>
      <c r="R64" s="411" t="s">
        <v>20</v>
      </c>
      <c r="S64" s="367" t="s">
        <v>19</v>
      </c>
      <c r="T64" s="412">
        <f t="shared" si="15"/>
        <v>0</v>
      </c>
      <c r="U64" s="413">
        <f>IF(Q64=0,$Y$8,Q64)</f>
        <v>12</v>
      </c>
      <c r="V64" s="414" t="s">
        <v>141</v>
      </c>
      <c r="X64" s="556" t="str">
        <f>IF(예산실적비교표!A54="X","",예산실적비교표!A54)</f>
        <v>맞춤치료 등</v>
      </c>
      <c r="Y64" s="750">
        <f>IF($AB$2="",0,IF(X64="",0,IF(예산실적비교표!B54=0,ROUND($AI$54/AA64*40%,-3),예산실적비교표!B54)))</f>
        <v>240000</v>
      </c>
      <c r="Z64" s="912" t="str">
        <f>IF(예산실적비교표!C54="X","",예산실적비교표!C54)</f>
        <v/>
      </c>
      <c r="AA64" s="537">
        <f>IF($Y$8&lt;&gt;예산실적비교표!$B$3,$U$90,예산실적비교표!D54)</f>
        <v>12</v>
      </c>
      <c r="AB64" s="556" t="str">
        <f>IF(예산실적비교표!E54="X","",예산실적비교표!E54)</f>
        <v>기타</v>
      </c>
      <c r="AC64" s="750">
        <f>IF($AB$2="",0,IF(AB64="",0,IF(예산실적비교표!F54=0,ROUND($AC$61*30%,-3),예산실적비교표!F54)))</f>
        <v>1000000</v>
      </c>
      <c r="AD64" s="556" t="str">
        <f>IF(예산실적비교표!G54="X","",예산실적비교표!G54)</f>
        <v>각종근로지원금지급</v>
      </c>
      <c r="AE64" s="750">
        <v>100000</v>
      </c>
      <c r="AF64" s="537">
        <f>IF($Y$8&lt;&gt;예산실적비교표!$B$3,$Y$8,예산실적비교표!I54)</f>
        <v>12</v>
      </c>
      <c r="AH64" s="295" t="str">
        <f>세출예산서!L251</f>
        <v xml:space="preserve">  - </v>
      </c>
      <c r="AI64" s="1359">
        <f>세출예산서!V251</f>
        <v>0</v>
      </c>
      <c r="AJ64" s="1360"/>
      <c r="AP64" s="1035" t="str">
        <f>IF(예산실적비교표!AL64&lt;&gt;"",예산실적비교표!AL64,"")</f>
        <v>박윤정</v>
      </c>
      <c r="AQ64" s="1036" t="str">
        <f>IF(예산실적비교표!AM64&lt;&gt;"",예산실적비교표!AM64,"")</f>
        <v>간호조무사</v>
      </c>
      <c r="AR64" s="1037">
        <v>3130348</v>
      </c>
      <c r="AS64" s="1038">
        <f>IF(예산실적비교표!AO64&lt;&gt;"",예산실적비교표!AO64,0)</f>
        <v>0</v>
      </c>
      <c r="AT64" s="971">
        <f t="shared" ref="AT64:AT127" si="18">IFERROR(IF(AND(AP64&lt;&gt;"",(AR64+AS64)=0),1,ROUND((AR64+AS64)*$AR$1,-3)),0)</f>
        <v>3224000</v>
      </c>
      <c r="AU64" s="1039">
        <f>IF(예산실적비교표!AQ64&lt;&gt;"",예산실적비교표!AQ64,0)</f>
        <v>0</v>
      </c>
      <c r="AV64" s="973">
        <f t="shared" ref="AV64:AV127" si="19">IF(BB64="",0,BB64)</f>
        <v>268667</v>
      </c>
      <c r="AW64" s="974">
        <f>IF(AR64="",0,ROUND((AT64*$AT$7)*데이터입력!$AF$14+(AT64*$AU$7)*데이터입력!$AF$14+(AT64*$AU$7*$AV$7)*데이터입력!$AF$14+(AT64*$AW$7)*데이터입력!$AF$14+(AT64*$AX$7)*데이터입력!$AF$14,-1))</f>
        <v>451700</v>
      </c>
      <c r="AX64" s="975">
        <f t="shared" ref="AX64:AX127" si="20">IF(SUM(AT64:AW64)=0,0,SUM(AT64:AW64))</f>
        <v>3944367</v>
      </c>
      <c r="AY64" s="976">
        <f>IFERROR(IF($AE$2=TRUE,IF(AR64+AS64=0,0,AR64+AS64),ROUND(IF(데이터입력!$AF$14=100%,ROUND(AR64*$AR$1,-3),ROUND(AR64*$AR$1,-3)-ROUND(((AR64*$AR$1)*$AT$4)*(데이터입력!$AF$14-100%)+((AR64*$AR$1)*$AU$4)*(데이터입력!$AF$14-100%)+((AR64*$AR$1)*$AU$4*$AV$4)*(데이터입력!$AF$14-100%)+((AR64*$AR$1)*$AW$4)*(데이터입력!$AF$14-100%),-1)),0)),0)</f>
        <v>3130010</v>
      </c>
      <c r="AZ64" s="977">
        <f>IFERROR(IF(AR64+AS64=0,0,IF(데이터입력!$AF$12=100%,(AT64),(AT64)+ROUND(AT64*(데이터입력!$AF$12-100%),-1))),0)</f>
        <v>3224000</v>
      </c>
      <c r="BA64" s="1097">
        <f>IFERROR(IF(AZ64=0,"",IF(AND(예산실적비교표!AP64&gt;0,예산실적비교표!AW64=0),"",ROUND(AZ64/12,0))),"")</f>
        <v>268667</v>
      </c>
      <c r="BB64" s="1096">
        <f>IF(BA64="","",IF(데이터입력!$O$70="",ROUND(AZ64/12,0),ROUND(데이터입력!$O$70/데이터입력!$Y$8/$BC$63,0)))</f>
        <v>268667</v>
      </c>
      <c r="BC64" s="988" t="s">
        <v>640</v>
      </c>
      <c r="BD64" s="989" t="s">
        <v>128</v>
      </c>
      <c r="BE64" s="989" t="s">
        <v>638</v>
      </c>
      <c r="BF64" s="990" t="s">
        <v>639</v>
      </c>
    </row>
    <row r="65" spans="1:58" ht="17.25" thickBot="1">
      <c r="A65" s="901">
        <f>IF($AM$1=TRUE,IF(K65="","",SUBTOTAL(2,$K$3:K65)),IF(AND(M65="",N65=""),"",IF(N65="",COUNT($M$3:M65),COUNT($N$3:N65)+200)))</f>
        <v>25</v>
      </c>
      <c r="B65" s="303" t="s">
        <v>62</v>
      </c>
      <c r="C65" s="303" t="s">
        <v>550</v>
      </c>
      <c r="D65" s="302">
        <v>503010201</v>
      </c>
      <c r="E65" s="302" t="s">
        <v>83</v>
      </c>
      <c r="F65" s="302" t="s">
        <v>80</v>
      </c>
      <c r="G65" s="304">
        <f>IFERROR(IF($E65="06",VLOOKUP($B65,예산실적비교표!$O$7:$R$200,2,FALSE),0),0)</f>
        <v>24000000</v>
      </c>
      <c r="H65" s="304">
        <f>IFERROR(IF($E65="06",VLOOKUP($C65,세출예산서!$K$3:$X$307,12,FALSE),0),0)</f>
        <v>24000000</v>
      </c>
      <c r="I65" s="304">
        <f>IFERROR(IF($E65="07",VLOOKUP($C65,세출예산서!$K$3:$X$307,13,FALSE),0),0)</f>
        <v>0</v>
      </c>
      <c r="J65" s="304">
        <f>IFERROR(IF($E65="05",VLOOKUP($C65,세출예산서!$K$3:$X$307,14,FALSE),0),0)</f>
        <v>0</v>
      </c>
      <c r="K65" s="304">
        <f t="shared" si="11"/>
        <v>0</v>
      </c>
      <c r="L65" s="305">
        <f>IFERROR(IF($AB$2="",0,ROUNDUP(VLOOKUP($B65,예산실적비교표!$O$7:$R$200,3,FALSE)*$Y$7/($Y$8-(12-$Y$9)),-2)*$Y$8),0)</f>
        <v>24000000</v>
      </c>
      <c r="M65" s="597">
        <f>IF($AM$1=TRUE,IF(K65="","",IF(IF($AE$2="",IF(K65="","",SUBTOTAL(2,$K$3:K65)),IF(AND(G65&gt;=0,K65=""),"",IF(AND(G65&gt;0,OR(K65&gt;0,K65&lt;0)),SUBTOTAL(2,$K$3:K65),IF(AND(G65=0,OR(K65&gt;0,K65&lt;0)),SUBTOTAL(2,$K$3:K65)+200,""))))&gt;200,"",1)),IF(K65="","",IF(IF($AE$2="",IF(K65="","",SUBTOTAL(2,$K$3:K65)),IF(AND(G65&gt;=0,K65=""),"",IF(AND(G65&gt;0,OR(K65&gt;0,K65&lt;0)),SUBTOTAL(2,$K$3:K65),IF(AND(G65=0,OR(K65&gt;0,K65&lt;0)),SUBTOTAL(2,$K$3:K65)+200,""))))&gt;200,"",1)))</f>
        <v>1</v>
      </c>
      <c r="N65" s="161" t="str">
        <f>IF($AM$1=TRUE,IF(K65="","",IF(IF($AE$2="",IF(K65="","",SUBTOTAL(2,$K$3:K65)),IF(AND(G65&gt;=0,K65=""),"",IF(AND(G65&gt;0,OR(K65&gt;0,K65&lt;0)),SUBTOTAL(2,$K$3:K65),IF(AND(G65=0,OR(K65&gt;0,K65&lt;0)),SUBTOTAL(2,$K$3:K65)+200,""))))&lt;=200,"",2)),IF(K65="","",IF(IF($AE$2="",IF(K65="","",SUBTOTAL(2,$K$3:K65)),IF(AND(G65&gt;=0,K65=""),"",IF(AND(G65&gt;0,OR(K65&gt;0,K65&lt;0)),SUBTOTAL(2,$K$3:K65),IF(AND(G65=0,OR(K65&gt;0,K65&lt;0)),SUBTOTAL(2,$K$3:K65)+200,""))))&lt;=200,"",2)))</f>
        <v/>
      </c>
      <c r="O65" s="466"/>
      <c r="P65" s="364">
        <f t="shared" ref="P65:P67" si="21">IFERROR(IF(VLOOKUP(R65,$B$35:$L$40,11,FALSE)&gt;0,VLOOKUP(R65,$B$35:$L$40,11,FALSE),0),0)</f>
        <v>0</v>
      </c>
      <c r="Q65" s="487">
        <v>0</v>
      </c>
      <c r="R65" s="411" t="s">
        <v>28</v>
      </c>
      <c r="S65" s="367" t="s">
        <v>19</v>
      </c>
      <c r="T65" s="412">
        <f t="shared" si="15"/>
        <v>0</v>
      </c>
      <c r="U65" s="413">
        <f>IF(Q65=0,$Y$8,Q65)</f>
        <v>12</v>
      </c>
      <c r="V65" s="360" t="s">
        <v>126</v>
      </c>
      <c r="X65" s="556" t="str">
        <f>IF(예산실적비교표!A55="X","",예산실적비교표!A55)</f>
        <v>명절잔치(수급자)</v>
      </c>
      <c r="Y65" s="750">
        <f>IF($AB$2="",0,IF(X65="",0,예산실적비교표!B55))</f>
        <v>5000</v>
      </c>
      <c r="Z65" s="912">
        <f>IF(예산실적비교표!C55="X","",$Y$24)</f>
        <v>45</v>
      </c>
      <c r="AA65" s="537">
        <f>AA53</f>
        <v>2</v>
      </c>
      <c r="AB65" s="556" t="str">
        <f>IF(예산실적비교표!E55="X","",예산실적비교표!E55)</f>
        <v/>
      </c>
      <c r="AC65" s="750">
        <f>IF($AB$2="",0,IF(AB65="",0,예산실적비교표!F55))</f>
        <v>0</v>
      </c>
      <c r="AD65" s="556" t="str">
        <f>IF(예산실적비교표!G55="X","",예산실적비교표!G55)</f>
        <v/>
      </c>
      <c r="AE65" s="750">
        <f>IF($AB$2="",0,IF(AD65="",0,예산실적비교표!H55))</f>
        <v>0</v>
      </c>
      <c r="AF65" s="537">
        <f>IF($Y$8&lt;&gt;예산실적비교표!$B$3,$Y$8,예산실적비교표!I55)</f>
        <v>12</v>
      </c>
      <c r="AH65" s="548" t="str">
        <f>AD61</f>
        <v>잡지출</v>
      </c>
      <c r="AI65" s="1342">
        <f>세출예산서!$Z$280</f>
        <v>1087016977</v>
      </c>
      <c r="AJ65" s="1343"/>
      <c r="AP65" s="1035" t="str">
        <f>IF(예산실적비교표!AL65&lt;&gt;"",예산실적비교표!AL65,"")</f>
        <v>장정은</v>
      </c>
      <c r="AQ65" s="1036" t="str">
        <f>IF(예산실적비교표!AM65&lt;&gt;"",예산실적비교표!AM65,"")</f>
        <v>간호조무사</v>
      </c>
      <c r="AR65" s="1037">
        <v>2639184</v>
      </c>
      <c r="AS65" s="1038">
        <f>IF(예산실적비교표!AO65&lt;&gt;"",예산실적비교표!AO65,0)</f>
        <v>0</v>
      </c>
      <c r="AT65" s="971">
        <f t="shared" si="18"/>
        <v>2718000</v>
      </c>
      <c r="AU65" s="1039">
        <f>IF(예산실적비교표!AQ65&lt;&gt;"",예산실적비교표!AQ65,0)</f>
        <v>0</v>
      </c>
      <c r="AV65" s="973">
        <f t="shared" si="19"/>
        <v>226500</v>
      </c>
      <c r="AW65" s="974">
        <f>IF(AR65="",0,ROUND((AT65*$AT$7)*데이터입력!$AF$14+(AT65*$AU$7)*데이터입력!$AF$14+(AT65*$AU$7*$AV$7)*데이터입력!$AF$14+(AT65*$AW$7)*데이터입력!$AF$14+(AT65*$AX$7)*데이터입력!$AF$14,-1))</f>
        <v>380810</v>
      </c>
      <c r="AX65" s="975">
        <f t="shared" si="20"/>
        <v>3325310</v>
      </c>
      <c r="AY65" s="976">
        <f>IFERROR(IF($AE$2=TRUE,IF(AR65+AS65=0,0,AR65+AS65),ROUND(IF(데이터입력!$AF$14=100%,ROUND(AR65*$AR$1,-3),ROUND(AR65*$AR$1,-3)-ROUND(((AR65*$AR$1)*$AT$4)*(데이터입력!$AF$14-100%)+((AR65*$AR$1)*$AU$4)*(데이터입력!$AF$14-100%)+((AR65*$AR$1)*$AU$4*$AV$4)*(데이터입력!$AF$14-100%)+((AR65*$AR$1)*$AW$4)*(데이터입력!$AF$14-100%),-1)),0)),0)</f>
        <v>2638750</v>
      </c>
      <c r="AZ65" s="977">
        <f>IFERROR(IF(AR65+AS65=0,0,IF(데이터입력!$AF$12=100%,(AT65),(AT65)+ROUND(AT65*(데이터입력!$AF$12-100%),-1))),0)</f>
        <v>2718000</v>
      </c>
      <c r="BA65" s="1097">
        <f>IFERROR(IF(AZ65=0,"",IF(AND(예산실적비교표!AP65&gt;0,예산실적비교표!AW65=0),"",ROUND(AZ65/12,0))),"")</f>
        <v>226500</v>
      </c>
      <c r="BB65" s="1096">
        <f>IF(BA65="","",IF(데이터입력!$O$70="",ROUND(AZ65/12,0),ROUND(데이터입력!$O$70/데이터입력!$Y$8/$BC$63,0)))</f>
        <v>226500</v>
      </c>
      <c r="BC65" s="991" t="str">
        <f>데이터입력!$B$42</f>
        <v>급여(직접비)</v>
      </c>
      <c r="BD65" s="992" t="e">
        <f>#REF!</f>
        <v>#REF!</v>
      </c>
      <c r="BE65" s="992">
        <f>IFERROR(IF(데이터입력!$L$42=0,ROUNDUP($AR$6*VLOOKUP(데이터입력!$AB$2,데이터입력!$AH$17:$AI$23,2,FALSE),0)-SUM(#REF!),데이터입력!$L$42),0)</f>
        <v>747532800</v>
      </c>
      <c r="BF65" s="993" t="e">
        <f>IF((BE65-BD65)&lt;=0,0,BE65-BD65)</f>
        <v>#REF!</v>
      </c>
    </row>
    <row r="66" spans="1:58">
      <c r="A66" s="901">
        <f>IF($AM$1=TRUE,IF(K66="","",SUBTOTAL(2,$K$3:K66)),IF(AND(M66="",N66=""),"",IF(N66="",COUNT($M$3:M66),COUNT($N$3:N66)+200)))</f>
        <v>26</v>
      </c>
      <c r="B66" s="303" t="s">
        <v>63</v>
      </c>
      <c r="C66" s="303" t="s">
        <v>551</v>
      </c>
      <c r="D66" s="302">
        <v>503010401</v>
      </c>
      <c r="E66" s="302" t="s">
        <v>83</v>
      </c>
      <c r="F66" s="302" t="s">
        <v>80</v>
      </c>
      <c r="G66" s="304">
        <f>IFERROR(IF($E66="06",VLOOKUP($B66,예산실적비교표!$O$7:$R$200,2,FALSE),0),0)</f>
        <v>44400000</v>
      </c>
      <c r="H66" s="304">
        <f>IFERROR(IF($E66="06",VLOOKUP($C66,세출예산서!$K$3:$X$307,12,FALSE),0),0)</f>
        <v>36000000</v>
      </c>
      <c r="I66" s="304">
        <f>IFERROR(IF($E66="07",VLOOKUP($C66,세출예산서!$K$3:$X$307,13,FALSE),0),0)</f>
        <v>0</v>
      </c>
      <c r="J66" s="304">
        <f>IFERROR(IF($E66="05",VLOOKUP($C66,세출예산서!$K$3:$X$307,14,FALSE),0),0)</f>
        <v>0</v>
      </c>
      <c r="K66" s="304">
        <f t="shared" si="11"/>
        <v>-8400000</v>
      </c>
      <c r="L66" s="305">
        <f>IFERROR(IF($AB$2="",0,ROUNDUP(VLOOKUP($B66,예산실적비교표!$O$7:$R$200,3,FALSE)*$Y$7/($Y$8-(12-$Y$9)),-2)*$Y$8),0)</f>
        <v>44400000</v>
      </c>
      <c r="M66" s="597">
        <f>IF($AM$1=TRUE,IF(K66="","",IF(IF($AE$2="",IF(K66="","",SUBTOTAL(2,$K$3:K66)),IF(AND(G66&gt;=0,K66=""),"",IF(AND(G66&gt;0,OR(K66&gt;0,K66&lt;0)),SUBTOTAL(2,$K$3:K66),IF(AND(G66=0,OR(K66&gt;0,K66&lt;0)),SUBTOTAL(2,$K$3:K66)+200,""))))&gt;200,"",1)),IF(K66="","",IF(IF($AE$2="",IF(K66="","",SUBTOTAL(2,$K$3:K66)),IF(AND(G66&gt;=0,K66=""),"",IF(AND(G66&gt;0,OR(K66&gt;0,K66&lt;0)),SUBTOTAL(2,$K$3:K66),IF(AND(G66=0,OR(K66&gt;0,K66&lt;0)),SUBTOTAL(2,$K$3:K66)+200,""))))&gt;200,"",1)))</f>
        <v>1</v>
      </c>
      <c r="N66" s="161" t="str">
        <f>IF($AM$1=TRUE,IF(K66="","",IF(IF($AE$2="",IF(K66="","",SUBTOTAL(2,$K$3:K66)),IF(AND(G66&gt;=0,K66=""),"",IF(AND(G66&gt;0,OR(K66&gt;0,K66&lt;0)),SUBTOTAL(2,$K$3:K66),IF(AND(G66=0,OR(K66&gt;0,K66&lt;0)),SUBTOTAL(2,$K$3:K66)+200,""))))&lt;=200,"",2)),IF(K66="","",IF(IF($AE$2="",IF(K66="","",SUBTOTAL(2,$K$3:K66)),IF(AND(G66&gt;=0,K66=""),"",IF(AND(G66&gt;0,OR(K66&gt;0,K66&lt;0)),SUBTOTAL(2,$K$3:K66),IF(AND(G66=0,OR(K66&gt;0,K66&lt;0)),SUBTOTAL(2,$K$3:K66)+200,""))))&lt;=200,"",2)))</f>
        <v/>
      </c>
      <c r="O66" s="466"/>
      <c r="P66" s="364">
        <f t="shared" si="21"/>
        <v>0</v>
      </c>
      <c r="Q66" s="487">
        <v>0</v>
      </c>
      <c r="R66" s="411" t="s">
        <v>30</v>
      </c>
      <c r="S66" s="367" t="s">
        <v>19</v>
      </c>
      <c r="T66" s="412">
        <f t="shared" si="15"/>
        <v>0</v>
      </c>
      <c r="U66" s="413">
        <f>IF(Q66=0,$Y$8,Q66)</f>
        <v>12</v>
      </c>
      <c r="V66" s="360" t="s">
        <v>126</v>
      </c>
      <c r="X66" s="556" t="str">
        <f>IF(예산실적비교표!A56="X","",예산실적비교표!A56)</f>
        <v>생일잔치(수급자)</v>
      </c>
      <c r="Y66" s="750">
        <f>IF($AB$2="",0,IF(X66="",0,예산실적비교표!B56))</f>
        <v>300000</v>
      </c>
      <c r="Z66" s="912" t="str">
        <f>IF(예산실적비교표!C56="X","",예산실적비교표!C56)</f>
        <v/>
      </c>
      <c r="AA66" s="537">
        <f>IF($Y$8&lt;&gt;예산실적비교표!$B$3,$U$90,예산실적비교표!D56)</f>
        <v>12</v>
      </c>
      <c r="AB66" s="556" t="str">
        <f>IF(예산실적비교표!E56="X","",예산실적비교표!E56)</f>
        <v/>
      </c>
      <c r="AC66" s="750">
        <f>IF($AB$2="",0,IF(AB66="",0,예산실적비교표!F56))</f>
        <v>0</v>
      </c>
      <c r="AD66" s="556" t="str">
        <f>IF(예산실적비교표!G56="X","",예산실적비교표!G56)</f>
        <v/>
      </c>
      <c r="AE66" s="750">
        <f>IF($AB$2="",0,IF(AD66="",0,예산실적비교표!H56))</f>
        <v>0</v>
      </c>
      <c r="AF66" s="537">
        <f>IF($Y$8&lt;&gt;예산실적비교표!$B$3,$Y$8,예산실적비교표!I56)</f>
        <v>12</v>
      </c>
      <c r="AH66" s="294" t="str">
        <f>세출예산서!L281</f>
        <v xml:space="preserve">  - 잡지출</v>
      </c>
      <c r="AI66" s="1344">
        <f>세출예산서!V281</f>
        <v>1081016977</v>
      </c>
      <c r="AJ66" s="1345"/>
      <c r="AP66" s="1035" t="str">
        <f>IF(예산실적비교표!AL66&lt;&gt;"",예산실적비교표!AL66,"")</f>
        <v>윤선미</v>
      </c>
      <c r="AQ66" s="1036" t="str">
        <f>IF(예산실적비교표!AM66&lt;&gt;"",예산실적비교표!AM66,"")</f>
        <v>작업치료사</v>
      </c>
      <c r="AR66" s="1037">
        <v>2577943</v>
      </c>
      <c r="AS66" s="1038">
        <f>IF(예산실적비교표!AO66&lt;&gt;"",예산실적비교표!AO66,0)</f>
        <v>0</v>
      </c>
      <c r="AT66" s="971">
        <f t="shared" si="18"/>
        <v>2655000</v>
      </c>
      <c r="AU66" s="1039">
        <f>IF(예산실적비교표!AQ66&lt;&gt;"",예산실적비교표!AQ66,0)</f>
        <v>0</v>
      </c>
      <c r="AV66" s="973">
        <f t="shared" si="19"/>
        <v>221250</v>
      </c>
      <c r="AW66" s="974">
        <f>IF(AR66="",0,ROUND((AT66*$AT$7)*데이터입력!$AF$14+(AT66*$AU$7)*데이터입력!$AF$14+(AT66*$AU$7*$AV$7)*데이터입력!$AF$14+(AT66*$AW$7)*데이터입력!$AF$14+(AT66*$AX$7)*데이터입력!$AF$14,-1))</f>
        <v>371980</v>
      </c>
      <c r="AX66" s="975">
        <f t="shared" si="20"/>
        <v>3248230</v>
      </c>
      <c r="AY66" s="976">
        <f>IFERROR(IF($AE$2=TRUE,IF(AR66+AS66=0,0,AR66+AS66),ROUND(IF(데이터입력!$AF$14=100%,ROUND(AR66*$AR$1,-3),ROUND(AR66*$AR$1,-3)-ROUND(((AR66*$AR$1)*$AT$4)*(데이터입력!$AF$14-100%)+((AR66*$AR$1)*$AU$4)*(데이터입력!$AF$14-100%)+((AR66*$AR$1)*$AU$4*$AV$4)*(데이터입력!$AF$14-100%)+((AR66*$AR$1)*$AW$4)*(데이터입력!$AF$14-100%),-1)),0)),0)</f>
        <v>2577590</v>
      </c>
      <c r="AZ66" s="977">
        <f>IFERROR(IF(AR66+AS66=0,0,IF(데이터입력!$AF$12=100%,(AT66),(AT66)+ROUND(AT66*(데이터입력!$AF$12-100%),-1))),0)</f>
        <v>2655000</v>
      </c>
      <c r="BA66" s="1097">
        <f>IFERROR(IF(AZ66=0,"",IF(AND(예산실적비교표!AP66&gt;0,예산실적비교표!AW66=0),"",ROUND(AZ66/12,0))),"")</f>
        <v>221250</v>
      </c>
      <c r="BB66" s="1096">
        <f>IF(BA66="","",IF(데이터입력!$O$70="",ROUND(AZ66/12,0),ROUND(데이터입력!$O$70/데이터입력!$Y$8/$BC$63,0)))</f>
        <v>221250</v>
      </c>
      <c r="BC66" s="991" t="str">
        <f>데이터입력!$B$43</f>
        <v>급여(간접비)</v>
      </c>
      <c r="BD66" s="992" t="e">
        <f>#REF!</f>
        <v>#REF!</v>
      </c>
      <c r="BE66" s="992">
        <f>데이터입력!$L$43</f>
        <v>82800000</v>
      </c>
      <c r="BF66" s="993" t="e">
        <f t="shared" ref="BF66:BF72" si="22">IF((BE66-BD66)&lt;=0,0,BE66-BD66)</f>
        <v>#REF!</v>
      </c>
    </row>
    <row r="67" spans="1:58">
      <c r="A67" s="901" t="str">
        <f>IF($AM$1=TRUE,IF(K67="","",SUBTOTAL(2,$K$3:K67)),IF(AND(M67="",N67=""),"",IF(N67="",COUNT($M$3:M67),COUNT($N$3:N67)+200)))</f>
        <v/>
      </c>
      <c r="B67" s="303" t="s">
        <v>64</v>
      </c>
      <c r="C67" s="303" t="s">
        <v>552</v>
      </c>
      <c r="D67" s="302">
        <v>503010501</v>
      </c>
      <c r="E67" s="302" t="s">
        <v>83</v>
      </c>
      <c r="F67" s="302" t="s">
        <v>80</v>
      </c>
      <c r="G67" s="304">
        <f>IFERROR(IF($E67="06",VLOOKUP($B67,예산실적비교표!$O$7:$R$200,2,FALSE),0),0)</f>
        <v>0</v>
      </c>
      <c r="H67" s="304">
        <f>IFERROR(IF($E67="06",VLOOKUP($C67,세출예산서!$K$3:$X$307,12,FALSE),0),0)</f>
        <v>0</v>
      </c>
      <c r="I67" s="304">
        <f>IFERROR(IF($E67="07",VLOOKUP($C67,세출예산서!$K$3:$X$307,13,FALSE),0),0)</f>
        <v>0</v>
      </c>
      <c r="J67" s="304">
        <f>IFERROR(IF($E67="05",VLOOKUP($C67,세출예산서!$K$3:$X$307,14,FALSE),0),0)</f>
        <v>0</v>
      </c>
      <c r="K67" s="304" t="str">
        <f t="shared" si="11"/>
        <v/>
      </c>
      <c r="L67" s="305">
        <f>IFERROR(IF($AB$2="",0,ROUNDUP(VLOOKUP($B67,예산실적비교표!$O$7:$R$200,3,FALSE)*$Y$7/($Y$8-(12-$Y$9)),-2)*$Y$8),0)</f>
        <v>0</v>
      </c>
      <c r="M67" s="597" t="str">
        <f>IF($AM$1=TRUE,IF(K67="","",IF(IF($AE$2="",IF(K67="","",SUBTOTAL(2,$K$3:K67)),IF(AND(G67&gt;=0,K67=""),"",IF(AND(G67&gt;0,OR(K67&gt;0,K67&lt;0)),SUBTOTAL(2,$K$3:K67),IF(AND(G67=0,OR(K67&gt;0,K67&lt;0)),SUBTOTAL(2,$K$3:K67)+200,""))))&gt;200,"",1)),IF(K67="","",IF(IF($AE$2="",IF(K67="","",SUBTOTAL(2,$K$3:K67)),IF(AND(G67&gt;=0,K67=""),"",IF(AND(G67&gt;0,OR(K67&gt;0,K67&lt;0)),SUBTOTAL(2,$K$3:K67),IF(AND(G67=0,OR(K67&gt;0,K67&lt;0)),SUBTOTAL(2,$K$3:K67)+200,""))))&gt;200,"",1)))</f>
        <v/>
      </c>
      <c r="N67" s="161" t="str">
        <f>IF($AM$1=TRUE,IF(K67="","",IF(IF($AE$2="",IF(K67="","",SUBTOTAL(2,$K$3:K67)),IF(AND(G67&gt;=0,K67=""),"",IF(AND(G67&gt;0,OR(K67&gt;0,K67&lt;0)),SUBTOTAL(2,$K$3:K67),IF(AND(G67=0,OR(K67&gt;0,K67&lt;0)),SUBTOTAL(2,$K$3:K67)+200,""))))&lt;=200,"",2)),IF(K67="","",IF(IF($AE$2="",IF(K67="","",SUBTOTAL(2,$K$3:K67)),IF(AND(G67&gt;=0,K67=""),"",IF(AND(G67&gt;0,OR(K67&gt;0,K67&lt;0)),SUBTOTAL(2,$K$3:K67),IF(AND(G67=0,OR(K67&gt;0,K67&lt;0)),SUBTOTAL(2,$K$3:K67)+200,""))))&lt;=200,"",2)))</f>
        <v/>
      </c>
      <c r="O67" s="466"/>
      <c r="P67" s="364">
        <f t="shared" si="21"/>
        <v>0</v>
      </c>
      <c r="Q67" s="475"/>
      <c r="R67" s="411" t="s">
        <v>32</v>
      </c>
      <c r="S67" s="367" t="s">
        <v>19</v>
      </c>
      <c r="T67" s="412">
        <f t="shared" si="15"/>
        <v>0</v>
      </c>
      <c r="U67" s="413">
        <v>1</v>
      </c>
      <c r="V67" s="360" t="s">
        <v>126</v>
      </c>
      <c r="X67" s="556" t="s">
        <v>902</v>
      </c>
      <c r="Y67" s="750">
        <v>1000000</v>
      </c>
      <c r="Z67" s="912" t="str">
        <f>IF(예산실적비교표!C57="X","",예산실적비교표!C57)</f>
        <v/>
      </c>
      <c r="AA67" s="537">
        <v>1</v>
      </c>
      <c r="AB67" s="556" t="str">
        <f>IF(예산실적비교표!E57="X","",예산실적비교표!E57)</f>
        <v/>
      </c>
      <c r="AC67" s="750">
        <f>IF($AB$2="",0,IF(AB67="",0,예산실적비교표!F57))</f>
        <v>0</v>
      </c>
      <c r="AD67" s="556" t="str">
        <f>IF(예산실적비교표!G57="X","",예산실적비교표!G57)</f>
        <v/>
      </c>
      <c r="AE67" s="750">
        <f>IF($AB$2="",0,IF(AD67="",0,예산실적비교표!H57))</f>
        <v>0</v>
      </c>
      <c r="AF67" s="537">
        <f>IF($Y$8&lt;&gt;예산실적비교표!$B$3,$Y$8,예산실적비교표!I57)</f>
        <v>12</v>
      </c>
      <c r="AH67" s="279" t="str">
        <f>세출예산서!L282</f>
        <v xml:space="preserve">  - 의료비대납외</v>
      </c>
      <c r="AI67" s="1346">
        <f>세출예산서!V282</f>
        <v>4800000</v>
      </c>
      <c r="AJ67" s="1347"/>
      <c r="AP67" s="1035" t="str">
        <f>IF(예산실적비교표!AL67&lt;&gt;"",예산실적비교표!AL67,"")</f>
        <v>노정미</v>
      </c>
      <c r="AQ67" s="1036" t="str">
        <f>IF(예산실적비교표!AM67&lt;&gt;"",예산실적비교표!AM67,"")</f>
        <v>요양보호사 1급</v>
      </c>
      <c r="AR67" s="1037">
        <v>2511657</v>
      </c>
      <c r="AS67" s="1038">
        <f>IF(예산실적비교표!AO67&lt;&gt;"",예산실적비교표!AO67,0)</f>
        <v>0</v>
      </c>
      <c r="AT67" s="971">
        <f t="shared" si="18"/>
        <v>2587000</v>
      </c>
      <c r="AU67" s="1039">
        <f>IF(예산실적비교표!AQ67&lt;&gt;"",예산실적비교표!AQ67,0)</f>
        <v>0</v>
      </c>
      <c r="AV67" s="973">
        <f t="shared" si="19"/>
        <v>215583</v>
      </c>
      <c r="AW67" s="974">
        <f>IF(AR67="",0,ROUND((AT67*$AT$7)*데이터입력!$AF$14+(AT67*$AU$7)*데이터입력!$AF$14+(AT67*$AU$7*$AV$7)*데이터입력!$AF$14+(AT67*$AW$7)*데이터입력!$AF$14+(AT67*$AX$7)*데이터입력!$AF$14,-1))</f>
        <v>362450</v>
      </c>
      <c r="AX67" s="975">
        <f t="shared" si="20"/>
        <v>3165033</v>
      </c>
      <c r="AY67" s="976">
        <f>IFERROR(IF($AE$2=TRUE,IF(AR67+AS67=0,0,AR67+AS67),ROUND(IF(데이터입력!$AF$14=100%,ROUND(AR67*$AR$1,-3),ROUND(AR67*$AR$1,-3)-ROUND(((AR67*$AR$1)*$AT$4)*(데이터입력!$AF$14-100%)+((AR67*$AR$1)*$AU$4)*(데이터입력!$AF$14-100%)+((AR67*$AR$1)*$AU$4*$AV$4)*(데이터입력!$AF$14-100%)+((AR67*$AR$1)*$AW$4)*(데이터입력!$AF$14-100%),-1)),0)),0)</f>
        <v>2511580</v>
      </c>
      <c r="AZ67" s="977">
        <f>IFERROR(IF(AR67+AS67=0,0,IF(데이터입력!$AF$12=100%,(AT67),(AT67)+ROUND(AT67*(데이터입력!$AF$12-100%),-1))),0)</f>
        <v>2587000</v>
      </c>
      <c r="BA67" s="1097">
        <f>IFERROR(IF(AZ67=0,"",IF(AND(예산실적비교표!AP67&gt;0,예산실적비교표!AW67=0),"",ROUND(AZ67/12,0))),"")</f>
        <v>215583</v>
      </c>
      <c r="BB67" s="1096">
        <f>IF(BA67="","",IF(데이터입력!$O$70="",ROUND(AZ67/12,0),ROUND(데이터입력!$O$70/데이터입력!$Y$8/$BC$63,0)))</f>
        <v>215583</v>
      </c>
      <c r="BC67" s="991" t="str">
        <f>데이터입력!$B$44</f>
        <v>각종수당(직접비)</v>
      </c>
      <c r="BD67" s="992" t="e">
        <f>#REF!</f>
        <v>#REF!</v>
      </c>
      <c r="BE67" s="992">
        <f>데이터입력!$L$44</f>
        <v>0</v>
      </c>
      <c r="BF67" s="993" t="e">
        <f t="shared" si="22"/>
        <v>#REF!</v>
      </c>
    </row>
    <row r="68" spans="1:58" ht="17.25" thickBot="1">
      <c r="A68" s="901">
        <f>IF($AM$1=TRUE,IF(K68="","",SUBTOTAL(2,$K$3:K68)),IF(AND(M68="",N68=""),"",IF(N68="",COUNT($M$3:M68),COUNT($N$3:N68)+200)))</f>
        <v>27</v>
      </c>
      <c r="B68" s="303" t="s">
        <v>65</v>
      </c>
      <c r="C68" s="303" t="s">
        <v>553</v>
      </c>
      <c r="D68" s="302">
        <v>503030101</v>
      </c>
      <c r="E68" s="302" t="s">
        <v>83</v>
      </c>
      <c r="F68" s="302" t="s">
        <v>80</v>
      </c>
      <c r="G68" s="304">
        <f>IFERROR(IF($E68="06",VLOOKUP($B68,예산실적비교표!$O$7:$R$200,2,FALSE),0),0)</f>
        <v>13518000</v>
      </c>
      <c r="H68" s="304">
        <f>IFERROR(IF($E68="06",VLOOKUP($C68,세출예산서!$K$3:$X$307,12,FALSE),0),0)</f>
        <v>14402000</v>
      </c>
      <c r="I68" s="304">
        <f>IFERROR(IF($E68="07",VLOOKUP($C68,세출예산서!$K$3:$X$307,13,FALSE),0),0)</f>
        <v>0</v>
      </c>
      <c r="J68" s="304">
        <f>IFERROR(IF($E68="05",VLOOKUP($C68,세출예산서!$K$3:$X$307,14,FALSE),0),0)</f>
        <v>0</v>
      </c>
      <c r="K68" s="304">
        <f t="shared" si="11"/>
        <v>884000</v>
      </c>
      <c r="L68" s="305">
        <f>IFERROR(IF($AB$2="",0,ROUNDUP(VLOOKUP($B68,예산실적비교표!$O$7:$R$200,3,FALSE)*$Y$7/($Y$8-(12-$Y$9)),-2)*$Y$8),0)</f>
        <v>13518000</v>
      </c>
      <c r="M68" s="597">
        <f>IF($AM$1=TRUE,IF(K68="","",IF(IF($AE$2="",IF(K68="","",SUBTOTAL(2,$K$3:K68)),IF(AND(G68&gt;=0,K68=""),"",IF(AND(G68&gt;0,OR(K68&gt;0,K68&lt;0)),SUBTOTAL(2,$K$3:K68),IF(AND(G68=0,OR(K68&gt;0,K68&lt;0)),SUBTOTAL(2,$K$3:K68)+200,""))))&gt;200,"",1)),IF(K68="","",IF(IF($AE$2="",IF(K68="","",SUBTOTAL(2,$K$3:K68)),IF(AND(G68&gt;=0,K68=""),"",IF(AND(G68&gt;0,OR(K68&gt;0,K68&lt;0)),SUBTOTAL(2,$K$3:K68),IF(AND(G68=0,OR(K68&gt;0,K68&lt;0)),SUBTOTAL(2,$K$3:K68)+200,""))))&gt;200,"",1)))</f>
        <v>1</v>
      </c>
      <c r="N68" s="161" t="str">
        <f>IF($AM$1=TRUE,IF(K68="","",IF(IF($AE$2="",IF(K68="","",SUBTOTAL(2,$K$3:K68)),IF(AND(G68&gt;=0,K68=""),"",IF(AND(G68&gt;0,OR(K68&gt;0,K68&lt;0)),SUBTOTAL(2,$K$3:K68),IF(AND(G68=0,OR(K68&gt;0,K68&lt;0)),SUBTOTAL(2,$K$3:K68)+200,""))))&lt;=200,"",2)),IF(K68="","",IF(IF($AE$2="",IF(K68="","",SUBTOTAL(2,$K$3:K68)),IF(AND(G68&gt;=0,K68=""),"",IF(AND(G68&gt;0,OR(K68&gt;0,K68&lt;0)),SUBTOTAL(2,$K$3:K68),IF(AND(G68=0,OR(K68&gt;0,K68&lt;0)),SUBTOTAL(2,$K$3:K68)+200,""))))&lt;=200,"",2)))</f>
        <v/>
      </c>
      <c r="O68" s="468"/>
      <c r="P68" s="383">
        <f>IFERROR(IF(VLOOKUP(R68,$B$35:$L$40,11,FALSE)&gt;0,VLOOKUP(R68,$B$35:$L$40,6,FALSE),IF(SUM(J35:J39)&gt;0,10000,0)),0)</f>
        <v>0</v>
      </c>
      <c r="Q68" s="487">
        <v>0</v>
      </c>
      <c r="R68" s="415" t="s">
        <v>36</v>
      </c>
      <c r="S68" s="416" t="s">
        <v>82</v>
      </c>
      <c r="T68" s="417">
        <f>IF(O68="",ROUNDUP(P68,-3),O68)</f>
        <v>0</v>
      </c>
      <c r="U68" s="413">
        <f>IF(Q68=0,IF($Y$8&lt;7,1,2),Q68)</f>
        <v>2</v>
      </c>
      <c r="V68" s="405" t="s">
        <v>126</v>
      </c>
      <c r="X68" s="556" t="s">
        <v>903</v>
      </c>
      <c r="Y68" s="750">
        <v>200000</v>
      </c>
      <c r="Z68" s="912" t="str">
        <f>IF(예산실적비교표!C58="X","",예산실적비교표!C58)</f>
        <v/>
      </c>
      <c r="AA68" s="537">
        <v>2</v>
      </c>
      <c r="AB68" s="556" t="str">
        <f>IF(예산실적비교표!E58="X","",예산실적비교표!E58)</f>
        <v/>
      </c>
      <c r="AC68" s="750">
        <f>IF($AB$2="",0,IF(AB68="",0,예산실적비교표!F58))</f>
        <v>0</v>
      </c>
      <c r="AD68" s="556" t="str">
        <f>IF(예산실적비교표!G58="X","",예산실적비교표!G58)</f>
        <v/>
      </c>
      <c r="AE68" s="750">
        <f>IF($AB$2="",0,IF(AD68="",0,예산실적비교표!H58))</f>
        <v>0</v>
      </c>
      <c r="AF68" s="537">
        <f>IF($Y$8&lt;&gt;예산실적비교표!$B$3,$Y$8,예산실적비교표!I58)</f>
        <v>12</v>
      </c>
      <c r="AH68" s="279" t="str">
        <f>세출예산서!L283</f>
        <v xml:space="preserve">  - 각종근로지원금지급</v>
      </c>
      <c r="AI68" s="1346">
        <f>세출예산서!V283</f>
        <v>1200000</v>
      </c>
      <c r="AJ68" s="1347"/>
      <c r="AP68" s="1035" t="str">
        <f>IF(예산실적비교표!AL68&lt;&gt;"",예산실적비교표!AL68,"")</f>
        <v>이점순</v>
      </c>
      <c r="AQ68" s="1036" t="str">
        <f>IF(예산실적비교표!AM68&lt;&gt;"",예산실적비교표!AM68,"")</f>
        <v>요양보호사 1급</v>
      </c>
      <c r="AR68" s="1037">
        <v>2446485</v>
      </c>
      <c r="AS68" s="1038">
        <f>IF(예산실적비교표!AO68&lt;&gt;"",예산실적비교표!AO68,0)</f>
        <v>0</v>
      </c>
      <c r="AT68" s="971">
        <f t="shared" si="18"/>
        <v>2520000</v>
      </c>
      <c r="AU68" s="1039">
        <f>IF(예산실적비교표!AQ68&lt;&gt;"",예산실적비교표!AQ68,0)</f>
        <v>0</v>
      </c>
      <c r="AV68" s="973">
        <f t="shared" si="19"/>
        <v>210000</v>
      </c>
      <c r="AW68" s="974">
        <f>IF(AR68="",0,ROUND((AT68*$AT$7)*데이터입력!$AF$14+(AT68*$AU$7)*데이터입력!$AF$14+(AT68*$AU$7*$AV$7)*데이터입력!$AF$14+(AT68*$AW$7)*데이터입력!$AF$14+(AT68*$AX$7)*데이터입력!$AF$14,-1))</f>
        <v>353070</v>
      </c>
      <c r="AX68" s="975">
        <f t="shared" si="20"/>
        <v>3083070</v>
      </c>
      <c r="AY68" s="976">
        <f>IFERROR(IF($AE$2=TRUE,IF(AR68+AS68=0,0,AR68+AS68),ROUND(IF(데이터입력!$AF$14=100%,ROUND(AR68*$AR$1,-3),ROUND(AR68*$AR$1,-3)-ROUND(((AR68*$AR$1)*$AT$4)*(데이터입력!$AF$14-100%)+((AR68*$AR$1)*$AU$4)*(데이터입력!$AF$14-100%)+((AR68*$AR$1)*$AU$4*$AV$4)*(데이터입력!$AF$14-100%)+((AR68*$AR$1)*$AW$4)*(데이터입력!$AF$14-100%),-1)),0)),0)</f>
        <v>2446540</v>
      </c>
      <c r="AZ68" s="977">
        <f>IFERROR(IF(AR68+AS68=0,0,IF(데이터입력!$AF$12=100%,(AT68),(AT68)+ROUND(AT68*(데이터입력!$AF$12-100%),-1))),0)</f>
        <v>2520000</v>
      </c>
      <c r="BA68" s="1097">
        <f>IFERROR(IF(AZ68=0,"",IF(AND(예산실적비교표!AP68&gt;0,예산실적비교표!AW68=0),"",ROUND(AZ68/12,0))),"")</f>
        <v>210000</v>
      </c>
      <c r="BB68" s="1096">
        <f>IF(BA68="","",IF(데이터입력!$O$70="",ROUND(AZ68/12,0),ROUND(데이터입력!$O$70/데이터입력!$Y$8/$BC$63,0)))</f>
        <v>210000</v>
      </c>
      <c r="BC68" s="991" t="str">
        <f>데이터입력!$B$45</f>
        <v>각종수당(간접비)</v>
      </c>
      <c r="BD68" s="992" t="e">
        <f>#REF!</f>
        <v>#REF!</v>
      </c>
      <c r="BE68" s="992">
        <f>데이터입력!$L$45</f>
        <v>0</v>
      </c>
      <c r="BF68" s="993" t="e">
        <f t="shared" si="22"/>
        <v>#REF!</v>
      </c>
    </row>
    <row r="69" spans="1:58" ht="17.25" thickBot="1">
      <c r="A69" s="901" t="str">
        <f>IF($AM$1=TRUE,IF(K69="","",SUBTOTAL(2,$K$3:K69)),IF(AND(M69="",N69=""),"",IF(N69="",COUNT($M$3:M69),COUNT($N$3:N69)+200)))</f>
        <v/>
      </c>
      <c r="B69" s="303" t="s">
        <v>131</v>
      </c>
      <c r="C69" s="303" t="s">
        <v>554</v>
      </c>
      <c r="D69" s="302">
        <v>503040101</v>
      </c>
      <c r="E69" s="302" t="s">
        <v>83</v>
      </c>
      <c r="F69" s="302" t="s">
        <v>80</v>
      </c>
      <c r="G69" s="304">
        <f>IFERROR(IF($E69="06",VLOOKUP($B69,예산실적비교표!$O$7:$R$200,2,FALSE),0),0)</f>
        <v>0</v>
      </c>
      <c r="H69" s="304">
        <f>IFERROR(IF($E69="06",VLOOKUP($C69,세출예산서!$K$3:$X$307,12,FALSE),0),0)</f>
        <v>0</v>
      </c>
      <c r="I69" s="304">
        <f>IFERROR(IF($E69="07",VLOOKUP($C69,세출예산서!$K$3:$X$307,13,FALSE),0),0)</f>
        <v>0</v>
      </c>
      <c r="J69" s="304">
        <f>IFERROR(IF($E69="05",VLOOKUP($C69,세출예산서!$K$3:$X$307,14,FALSE),0),0)</f>
        <v>0</v>
      </c>
      <c r="K69" s="304" t="str">
        <f t="shared" si="11"/>
        <v/>
      </c>
      <c r="L69" s="305">
        <f>IFERROR(IF($AB$2="",0,ROUNDUP(VLOOKUP($B69,예산실적비교표!$O$7:$R$200,3,FALSE)*$Y$7/($Y$8-(12-$Y$9)),-2)*$Y$8),0)</f>
        <v>0</v>
      </c>
      <c r="M69" s="597" t="str">
        <f>IF($AM$1=TRUE,IF(K69="","",IF(IF($AE$2="",IF(K69="","",SUBTOTAL(2,$K$3:K69)),IF(AND(G69&gt;=0,K69=""),"",IF(AND(G69&gt;0,OR(K69&gt;0,K69&lt;0)),SUBTOTAL(2,$K$3:K69),IF(AND(G69=0,OR(K69&gt;0,K69&lt;0)),SUBTOTAL(2,$K$3:K69)+200,""))))&gt;200,"",1)),IF(K69="","",IF(IF($AE$2="",IF(K69="","",SUBTOTAL(2,$K$3:K69)),IF(AND(G69&gt;=0,K69=""),"",IF(AND(G69&gt;0,OR(K69&gt;0,K69&lt;0)),SUBTOTAL(2,$K$3:K69),IF(AND(G69=0,OR(K69&gt;0,K69&lt;0)),SUBTOTAL(2,$K$3:K69)+200,""))))&gt;200,"",1)))</f>
        <v/>
      </c>
      <c r="N69" s="161" t="str">
        <f>IF($AM$1=TRUE,IF(K69="","",IF(IF($AE$2="",IF(K69="","",SUBTOTAL(2,$K$3:K69)),IF(AND(G69&gt;=0,K69=""),"",IF(AND(G69&gt;0,OR(K69&gt;0,K69&lt;0)),SUBTOTAL(2,$K$3:K69),IF(AND(G69=0,OR(K69&gt;0,K69&lt;0)),SUBTOTAL(2,$K$3:K69)+200,""))))&lt;=200,"",2)),IF(K69="","",IF(IF($AE$2="",IF(K69="","",SUBTOTAL(2,$K$3:K69)),IF(AND(G69&gt;=0,K69=""),"",IF(AND(G69&gt;0,OR(K69&gt;0,K69&lt;0)),SUBTOTAL(2,$K$3:K69),IF(AND(G69=0,OR(K69&gt;0,K69&lt;0)),SUBTOTAL(2,$K$3:K69)+200,""))))&lt;=200,"",2)))</f>
        <v/>
      </c>
      <c r="O69" s="1394" t="s">
        <v>136</v>
      </c>
      <c r="P69" s="1395"/>
      <c r="Q69" s="1395"/>
      <c r="R69" s="1395"/>
      <c r="S69" s="1395"/>
      <c r="T69" s="1395"/>
      <c r="U69" s="1395"/>
      <c r="V69" s="1396"/>
      <c r="X69" s="556" t="str">
        <f>IF(예산실적비교표!A59="X","",예산실적비교표!A59)</f>
        <v/>
      </c>
      <c r="Y69" s="750">
        <f>IF($AB$2="",0,IF(X69="",0,예산실적비교표!B59))</f>
        <v>0</v>
      </c>
      <c r="Z69" s="912" t="str">
        <f>IF(예산실적비교표!C59="X","",예산실적비교표!C59)</f>
        <v/>
      </c>
      <c r="AA69" s="537">
        <f>IF($Y$8&lt;&gt;예산실적비교표!$B$3,$U$90,예산실적비교표!D59)</f>
        <v>12</v>
      </c>
      <c r="AB69" s="556" t="str">
        <f>IF(예산실적비교표!E59="X","",예산실적비교표!E59)</f>
        <v/>
      </c>
      <c r="AC69" s="750">
        <f>IF($AB$2="",0,IF(AB69="",0,예산실적비교표!F59))</f>
        <v>0</v>
      </c>
      <c r="AD69" s="556" t="str">
        <f>IF(예산실적비교표!G59="X","",예산실적비교표!G59)</f>
        <v/>
      </c>
      <c r="AE69" s="750">
        <f>IF($AB$2="",0,IF(AD69="",0,예산실적비교표!H59))</f>
        <v>0</v>
      </c>
      <c r="AF69" s="537">
        <f>IF($Y$8&lt;&gt;예산실적비교표!$B$3,$Y$8,예산실적비교표!I59)</f>
        <v>12</v>
      </c>
      <c r="AH69" s="279" t="str">
        <f>세출예산서!L284</f>
        <v xml:space="preserve">  - </v>
      </c>
      <c r="AI69" s="1346">
        <f>세출예산서!V284</f>
        <v>0</v>
      </c>
      <c r="AJ69" s="1347"/>
      <c r="AP69" s="1035" t="str">
        <f>IF(예산실적비교표!AL69&lt;&gt;"",예산실적비교표!AL69,"")</f>
        <v>유봉희</v>
      </c>
      <c r="AQ69" s="1036" t="str">
        <f>IF(예산실적비교표!AM69&lt;&gt;"",예산실적비교표!AM69,"")</f>
        <v>요양보호사 1급</v>
      </c>
      <c r="AR69" s="1037">
        <v>2690156</v>
      </c>
      <c r="AS69" s="1038">
        <f>IF(예산실적비교표!AO69&lt;&gt;"",예산실적비교표!AO69,0)</f>
        <v>0</v>
      </c>
      <c r="AT69" s="971">
        <f t="shared" si="18"/>
        <v>2771000</v>
      </c>
      <c r="AU69" s="1039">
        <f>IF(예산실적비교표!AQ69&lt;&gt;"",예산실적비교표!AQ69,0)</f>
        <v>0</v>
      </c>
      <c r="AV69" s="973">
        <f t="shared" si="19"/>
        <v>230917</v>
      </c>
      <c r="AW69" s="974">
        <f>IF(AR69="",0,ROUND((AT69*$AT$7)*데이터입력!$AF$14+(AT69*$AU$7)*데이터입력!$AF$14+(AT69*$AU$7*$AV$7)*데이터입력!$AF$14+(AT69*$AW$7)*데이터입력!$AF$14+(AT69*$AX$7)*데이터입력!$AF$14,-1))</f>
        <v>388230</v>
      </c>
      <c r="AX69" s="975">
        <f t="shared" si="20"/>
        <v>3390147</v>
      </c>
      <c r="AY69" s="976">
        <f>IFERROR(IF($AE$2=TRUE,IF(AR69+AS69=0,0,AR69+AS69),ROUND(IF(데이터입력!$AF$14=100%,ROUND(AR69*$AR$1,-3),ROUND(AR69*$AR$1,-3)-ROUND(((AR69*$AR$1)*$AT$4)*(데이터입력!$AF$14-100%)+((AR69*$AR$1)*$AU$4)*(데이터입력!$AF$14-100%)+((AR69*$AR$1)*$AU$4*$AV$4)*(데이터입력!$AF$14-100%)+((AR69*$AR$1)*$AW$4)*(데이터입력!$AF$14-100%),-1)),0)),0)</f>
        <v>2690220</v>
      </c>
      <c r="AZ69" s="977">
        <f>IFERROR(IF(AR69+AS69=0,0,IF(데이터입력!$AF$12=100%,(AT69),(AT69)+ROUND(AT69*(데이터입력!$AF$12-100%),-1))),0)</f>
        <v>2771000</v>
      </c>
      <c r="BA69" s="1097">
        <f>IFERROR(IF(AZ69=0,"",IF(AND(예산실적비교표!AP69&gt;0,예산실적비교표!AW69=0),"",ROUND(AZ69/12,0))),"")</f>
        <v>230917</v>
      </c>
      <c r="BB69" s="1096">
        <f>IF(BA69="","",IF(데이터입력!$O$70="",ROUND(AZ69/12,0),ROUND(데이터입력!$O$70/데이터입력!$Y$8/$BC$63,0)))</f>
        <v>230917</v>
      </c>
      <c r="BC69" s="991" t="str">
        <f>데이터입력!$B$46</f>
        <v>일용잡급(직접비)</v>
      </c>
      <c r="BD69" s="992" t="e">
        <f>#REF!</f>
        <v>#REF!</v>
      </c>
      <c r="BE69" s="992">
        <f>데이터입력!$L$46</f>
        <v>0</v>
      </c>
      <c r="BF69" s="993" t="e">
        <f t="shared" si="22"/>
        <v>#REF!</v>
      </c>
    </row>
    <row r="70" spans="1:58">
      <c r="A70" s="901" t="str">
        <f>IF($AM$1=TRUE,IF(K70="","",SUBTOTAL(2,$K$3:K70)),IF(AND(M70="",N70=""),"",IF(N70="",COUNT($M$3:M70),COUNT($N$3:N70)+200)))</f>
        <v/>
      </c>
      <c r="B70" s="303" t="s">
        <v>132</v>
      </c>
      <c r="C70" s="303" t="s">
        <v>555</v>
      </c>
      <c r="D70" s="302">
        <v>503040201</v>
      </c>
      <c r="E70" s="302" t="s">
        <v>83</v>
      </c>
      <c r="F70" s="302" t="s">
        <v>80</v>
      </c>
      <c r="G70" s="304">
        <f>IFERROR(IF($E70="06",VLOOKUP($B70,예산실적비교표!$O$7:$R$200,2,FALSE),0),0)</f>
        <v>0</v>
      </c>
      <c r="H70" s="304">
        <f>IFERROR(IF($E70="06",VLOOKUP($C70,세출예산서!$K$3:$X$307,12,FALSE),0),0)</f>
        <v>0</v>
      </c>
      <c r="I70" s="304">
        <f>IFERROR(IF($E70="07",VLOOKUP($C70,세출예산서!$K$3:$X$307,13,FALSE),0),0)</f>
        <v>0</v>
      </c>
      <c r="J70" s="304">
        <f>IFERROR(IF($E70="05",VLOOKUP($C70,세출예산서!$K$3:$X$307,14,FALSE),0),0)</f>
        <v>0</v>
      </c>
      <c r="K70" s="304" t="str">
        <f t="shared" si="11"/>
        <v/>
      </c>
      <c r="L70" s="305">
        <f>IFERROR(IF($AB$2="",0,ROUNDUP(VLOOKUP($B70,예산실적비교표!$O$7:$R$200,3,FALSE)*$Y$7/($Y$8-(12-$Y$9)),-2)*$Y$8),0)</f>
        <v>0</v>
      </c>
      <c r="M70" s="597" t="str">
        <f>IF($AM$1=TRUE,IF(K70="","",IF(IF($AE$2="",IF(K70="","",SUBTOTAL(2,$K$3:K70)),IF(AND(G70&gt;=0,K70=""),"",IF(AND(G70&gt;0,OR(K70&gt;0,K70&lt;0)),SUBTOTAL(2,$K$3:K70),IF(AND(G70=0,OR(K70&gt;0,K70&lt;0)),SUBTOTAL(2,$K$3:K70)+200,""))))&gt;200,"",1)),IF(K70="","",IF(IF($AE$2="",IF(K70="","",SUBTOTAL(2,$K$3:K70)),IF(AND(G70&gt;=0,K70=""),"",IF(AND(G70&gt;0,OR(K70&gt;0,K70&lt;0)),SUBTOTAL(2,$K$3:K70),IF(AND(G70=0,OR(K70&gt;0,K70&lt;0)),SUBTOTAL(2,$K$3:K70)+200,""))))&gt;200,"",1)))</f>
        <v/>
      </c>
      <c r="N70" s="161" t="str">
        <f>IF($AM$1=TRUE,IF(K70="","",IF(IF($AE$2="",IF(K70="","",SUBTOTAL(2,$K$3:K70)),IF(AND(G70&gt;=0,K70=""),"",IF(AND(G70&gt;0,OR(K70&gt;0,K70&lt;0)),SUBTOTAL(2,$K$3:K70),IF(AND(G70=0,OR(K70&gt;0,K70&lt;0)),SUBTOTAL(2,$K$3:K70)+200,""))))&lt;=200,"",2)),IF(K70="","",IF(IF($AE$2="",IF(K70="","",SUBTOTAL(2,$K$3:K70)),IF(AND(G70&gt;=0,K70=""),"",IF(AND(G70&gt;0,OR(K70&gt;0,K70&lt;0)),SUBTOTAL(2,$K$3:K70),IF(AND(G70=0,OR(K70&gt;0,K70&lt;0)),SUBTOTAL(2,$K$3:K70)+200,""))))&lt;=200,"",2)))</f>
        <v/>
      </c>
      <c r="O70" s="481"/>
      <c r="P70" s="356">
        <f>IFERROR(IF(VLOOKUP(R70,$B$42:$L$80,11,FALSE)&gt;0,VLOOKUP(R70,$B$42:$L$80,11,FALSE),0),0)</f>
        <v>80978400</v>
      </c>
      <c r="Q70" s="485"/>
      <c r="R70" s="419" t="s">
        <v>46</v>
      </c>
      <c r="S70" s="420" t="s">
        <v>80</v>
      </c>
      <c r="T70" s="582">
        <f>O70</f>
        <v>0</v>
      </c>
      <c r="U70" s="489">
        <f>IF(Q70=0,$Y$8,Q70)</f>
        <v>12</v>
      </c>
      <c r="V70" s="421" t="s">
        <v>142</v>
      </c>
      <c r="X70" s="556" t="str">
        <f>IF(예산실적비교표!A60="X","",예산실적비교표!A60)</f>
        <v/>
      </c>
      <c r="Y70" s="750">
        <f>IF($AB$2="",0,IF(X70="",0,예산실적비교표!B60))</f>
        <v>0</v>
      </c>
      <c r="Z70" s="912" t="str">
        <f>IF(예산실적비교표!C60="X","",예산실적비교표!C60)</f>
        <v/>
      </c>
      <c r="AA70" s="537">
        <f>IF($Y$8&lt;&gt;예산실적비교표!$B$3,$U$90,예산실적비교표!D60)</f>
        <v>12</v>
      </c>
      <c r="AB70" s="556" t="str">
        <f>IF(예산실적비교표!E60="X","",예산실적비교표!E60)</f>
        <v/>
      </c>
      <c r="AC70" s="750">
        <f>IF($AB$2="",0,IF(AB70="",0,예산실적비교표!F60))</f>
        <v>0</v>
      </c>
      <c r="AD70" s="556" t="str">
        <f>IF(예산실적비교표!G60="X","",예산실적비교표!G60)</f>
        <v/>
      </c>
      <c r="AE70" s="750">
        <f>IF($AB$2="",0,IF(AD70="",0,예산실적비교표!H60))</f>
        <v>0</v>
      </c>
      <c r="AF70" s="537">
        <f>IF($Y$8&lt;&gt;예산실적비교표!$B$3,$Y$8,예산실적비교표!I60)</f>
        <v>12</v>
      </c>
      <c r="AH70" s="279" t="str">
        <f>세출예산서!L285</f>
        <v xml:space="preserve">  - </v>
      </c>
      <c r="AI70" s="1346">
        <f>세출예산서!V285</f>
        <v>0</v>
      </c>
      <c r="AJ70" s="1347"/>
      <c r="AP70" s="1035" t="str">
        <f>IF(예산실적비교표!AL70&lt;&gt;"",예산실적비교표!AL70,"")</f>
        <v>정영숙</v>
      </c>
      <c r="AQ70" s="1036" t="str">
        <f>IF(예산실적비교표!AM70&lt;&gt;"",예산실적비교표!AM70,"")</f>
        <v>요양보호사 1급</v>
      </c>
      <c r="AR70" s="1037">
        <v>2680156</v>
      </c>
      <c r="AS70" s="1038">
        <f>IF(예산실적비교표!AO70&lt;&gt;"",예산실적비교표!AO70,0)</f>
        <v>0</v>
      </c>
      <c r="AT70" s="971">
        <f t="shared" si="18"/>
        <v>2761000</v>
      </c>
      <c r="AU70" s="1039">
        <f>IF(예산실적비교표!AQ70&lt;&gt;"",예산실적비교표!AQ70,0)</f>
        <v>0</v>
      </c>
      <c r="AV70" s="973">
        <f t="shared" si="19"/>
        <v>230083</v>
      </c>
      <c r="AW70" s="974">
        <f>IF(AR70="",0,ROUND((AT70*$AT$7)*데이터입력!$AF$14+(AT70*$AU$7)*데이터입력!$AF$14+(AT70*$AU$7*$AV$7)*데이터입력!$AF$14+(AT70*$AW$7)*데이터입력!$AF$14+(AT70*$AX$7)*데이터입력!$AF$14,-1))</f>
        <v>386830</v>
      </c>
      <c r="AX70" s="975">
        <f t="shared" si="20"/>
        <v>3377913</v>
      </c>
      <c r="AY70" s="976">
        <f>IFERROR(IF($AE$2=TRUE,IF(AR70+AS70=0,0,AR70+AS70),ROUND(IF(데이터입력!$AF$14=100%,ROUND(AR70*$AR$1,-3),ROUND(AR70*$AR$1,-3)-ROUND(((AR70*$AR$1)*$AT$4)*(데이터입력!$AF$14-100%)+((AR70*$AR$1)*$AU$4)*(데이터입력!$AF$14-100%)+((AR70*$AR$1)*$AU$4*$AV$4)*(데이터입력!$AF$14-100%)+((AR70*$AR$1)*$AW$4)*(데이터입력!$AF$14-100%),-1)),0)),0)</f>
        <v>2680520</v>
      </c>
      <c r="AZ70" s="977">
        <f>IFERROR(IF(AR70+AS70=0,0,IF(데이터입력!$AF$12=100%,(AT70),(AT70)+ROUND(AT70*(데이터입력!$AF$12-100%),-1))),0)</f>
        <v>2761000</v>
      </c>
      <c r="BA70" s="1097">
        <f>IFERROR(IF(AZ70=0,"",IF(AND(예산실적비교표!AP70&gt;0,예산실적비교표!AW70=0),"",ROUND(AZ70/12,0))),"")</f>
        <v>230083</v>
      </c>
      <c r="BB70" s="1096">
        <f>IF(BA70="","",IF(데이터입력!$O$70="",ROUND(AZ70/12,0),ROUND(데이터입력!$O$70/데이터입력!$Y$8/$BC$63,0)))</f>
        <v>230083</v>
      </c>
      <c r="BC70" s="991" t="str">
        <f>데이터입력!$B$47</f>
        <v>일용잡급(간접비)</v>
      </c>
      <c r="BD70" s="992" t="e">
        <f>#REF!</f>
        <v>#REF!</v>
      </c>
      <c r="BE70" s="992">
        <f>데이터입력!$L$47</f>
        <v>0</v>
      </c>
      <c r="BF70" s="993" t="e">
        <f t="shared" si="22"/>
        <v>#REF!</v>
      </c>
    </row>
    <row r="71" spans="1:58" ht="17.25" thickBot="1">
      <c r="A71" s="901" t="str">
        <f>IF($AM$1=TRUE,IF(K71="","",SUBTOTAL(2,$K$3:K71)),IF(AND(M71="",N71=""),"",IF(N71="",COUNT($M$3:M71),COUNT($N$3:N71)+200)))</f>
        <v/>
      </c>
      <c r="B71" s="303" t="s">
        <v>66</v>
      </c>
      <c r="C71" s="303" t="s">
        <v>556</v>
      </c>
      <c r="D71" s="302">
        <v>504010101</v>
      </c>
      <c r="E71" s="302" t="s">
        <v>83</v>
      </c>
      <c r="F71" s="302" t="s">
        <v>80</v>
      </c>
      <c r="G71" s="304">
        <f>IFERROR(IF($E71="06",VLOOKUP($B71,예산실적비교표!$O$7:$R$200,2,FALSE),0),0)</f>
        <v>0</v>
      </c>
      <c r="H71" s="304">
        <f>IFERROR(IF($E71="06",VLOOKUP($C71,세출예산서!$K$3:$X$307,12,FALSE),0),0)</f>
        <v>0</v>
      </c>
      <c r="I71" s="304">
        <f>IFERROR(IF($E71="07",VLOOKUP($C71,세출예산서!$K$3:$X$307,13,FALSE),0),0)</f>
        <v>0</v>
      </c>
      <c r="J71" s="304">
        <f>IFERROR(IF($E71="05",VLOOKUP($C71,세출예산서!$K$3:$X$307,14,FALSE),0),0)</f>
        <v>0</v>
      </c>
      <c r="K71" s="304" t="str">
        <f t="shared" si="11"/>
        <v/>
      </c>
      <c r="L71" s="305">
        <f>IFERROR(IF($AB$2="",0,ROUNDUP(VLOOKUP($B71,예산실적비교표!$O$7:$R$200,3,FALSE)/($Y$8-(12-$Y$9)),-2)*$Y$8),0)</f>
        <v>0</v>
      </c>
      <c r="M71" s="597" t="str">
        <f>IF($AM$1=TRUE,IF(K71="","",IF(IF($AE$2="",IF(K71="","",SUBTOTAL(2,$K$3:K71)),IF(AND(G71&gt;=0,K71=""),"",IF(AND(G71&gt;0,OR(K71&gt;0,K71&lt;0)),SUBTOTAL(2,$K$3:K71),IF(AND(G71=0,OR(K71&gt;0,K71&lt;0)),SUBTOTAL(2,$K$3:K71)+200,""))))&gt;200,"",1)),IF(K71="","",IF(IF($AE$2="",IF(K71="","",SUBTOTAL(2,$K$3:K71)),IF(AND(G71&gt;=0,K71=""),"",IF(AND(G71&gt;0,OR(K71&gt;0,K71&lt;0)),SUBTOTAL(2,$K$3:K71),IF(AND(G71=0,OR(K71&gt;0,K71&lt;0)),SUBTOTAL(2,$K$3:K71)+200,""))))&gt;200,"",1)))</f>
        <v/>
      </c>
      <c r="N71" s="161" t="str">
        <f>IF($AM$1=TRUE,IF(K71="","",IF(IF($AE$2="",IF(K71="","",SUBTOTAL(2,$K$3:K71)),IF(AND(G71&gt;=0,K71=""),"",IF(AND(G71&gt;0,OR(K71&gt;0,K71&lt;0)),SUBTOTAL(2,$K$3:K71),IF(AND(G71=0,OR(K71&gt;0,K71&lt;0)),SUBTOTAL(2,$K$3:K71)+200,""))))&lt;=200,"",2)),IF(K71="","",IF(IF($AE$2="",IF(K71="","",SUBTOTAL(2,$K$3:K71)),IF(AND(G71&gt;=0,K71=""),"",IF(AND(G71&gt;0,OR(K71&gt;0,K71&lt;0)),SUBTOTAL(2,$K$3:K71),IF(AND(G71=0,OR(K71&gt;0,K71&lt;0)),SUBTOTAL(2,$K$3:K71)+200,""))))&lt;=200,"",2)))</f>
        <v/>
      </c>
      <c r="O71" s="482"/>
      <c r="P71" s="364">
        <f>IFERROR(IF(VLOOKUP(R71,$B$42:$L$80,11,FALSE)&gt;0,VLOOKUP(R71,$B$42:$L$80,11,FALSE),0),0)</f>
        <v>0</v>
      </c>
      <c r="Q71" s="486"/>
      <c r="R71" s="422" t="s">
        <v>47</v>
      </c>
      <c r="S71" s="423" t="s">
        <v>80</v>
      </c>
      <c r="T71" s="583">
        <f>O71</f>
        <v>0</v>
      </c>
      <c r="U71" s="490">
        <f>IF(Q71=0,$Y$8,Q71)</f>
        <v>12</v>
      </c>
      <c r="V71" s="424" t="s">
        <v>142</v>
      </c>
      <c r="X71" s="556" t="str">
        <f>IF(예산실적비교표!A61="X","",예산실적비교표!A61)</f>
        <v/>
      </c>
      <c r="Y71" s="750">
        <f>IF($AB$2="",0,IF(X71="",0,예산실적비교표!B61))</f>
        <v>0</v>
      </c>
      <c r="Z71" s="912" t="str">
        <f>IF(예산실적비교표!C61="X","",예산실적비교표!C61)</f>
        <v/>
      </c>
      <c r="AA71" s="537">
        <f>IF($Y$8&lt;&gt;예산실적비교표!$B$3,$U$90,예산실적비교표!D61)</f>
        <v>12</v>
      </c>
      <c r="AB71" s="556" t="str">
        <f>IF(예산실적비교표!E61="X","",예산실적비교표!E61)</f>
        <v/>
      </c>
      <c r="AC71" s="750">
        <f>IF($AB$2="",0,IF(AB71="",0,예산실적비교표!F61))</f>
        <v>0</v>
      </c>
      <c r="AD71" s="556" t="str">
        <f>IF(예산실적비교표!G61="X","",예산실적비교표!G61)</f>
        <v/>
      </c>
      <c r="AE71" s="750">
        <f>IF($AB$2="",0,IF(AD71="",0,예산실적비교표!H61))</f>
        <v>0</v>
      </c>
      <c r="AF71" s="537">
        <f>IF($Y$8&lt;&gt;예산실적비교표!$B$3,$Y$8,예산실적비교표!I61)</f>
        <v>12</v>
      </c>
      <c r="AH71" s="279" t="str">
        <f>세출예산서!L286</f>
        <v xml:space="preserve">  - </v>
      </c>
      <c r="AI71" s="1346">
        <f>세출예산서!V286</f>
        <v>0</v>
      </c>
      <c r="AJ71" s="1347"/>
      <c r="AP71" s="1035" t="str">
        <f>IF(예산실적비교표!AL71&lt;&gt;"",예산실적비교표!AL71,"")</f>
        <v>이희섭</v>
      </c>
      <c r="AQ71" s="1036" t="str">
        <f>IF(예산실적비교표!AM71&lt;&gt;"",예산실적비교표!AM71,"")</f>
        <v>요양보호사 1급</v>
      </c>
      <c r="AR71" s="1037">
        <v>2580192</v>
      </c>
      <c r="AS71" s="1038">
        <f>IF(예산실적비교표!AO71&lt;&gt;"",예산실적비교표!AO71,0)</f>
        <v>0</v>
      </c>
      <c r="AT71" s="971">
        <f t="shared" si="18"/>
        <v>2658000</v>
      </c>
      <c r="AU71" s="1039">
        <f>IF(예산실적비교표!AQ71&lt;&gt;"",예산실적비교표!AQ71,0)</f>
        <v>0</v>
      </c>
      <c r="AV71" s="973">
        <f t="shared" si="19"/>
        <v>221500</v>
      </c>
      <c r="AW71" s="974">
        <f>IF(AR71="",0,ROUND((AT71*$AT$7)*데이터입력!$AF$14+(AT71*$AU$7)*데이터입력!$AF$14+(AT71*$AU$7*$AV$7)*데이터입력!$AF$14+(AT71*$AW$7)*데이터입력!$AF$14+(AT71*$AX$7)*데이터입력!$AF$14,-1))</f>
        <v>372400</v>
      </c>
      <c r="AX71" s="975">
        <f t="shared" si="20"/>
        <v>3251900</v>
      </c>
      <c r="AY71" s="976">
        <f>IFERROR(IF($AE$2=TRUE,IF(AR71+AS71=0,0,AR71+AS71),ROUND(IF(데이터입력!$AF$14=100%,ROUND(AR71*$AR$1,-3),ROUND(AR71*$AR$1,-3)-ROUND(((AR71*$AR$1)*$AT$4)*(데이터입력!$AF$14-100%)+((AR71*$AR$1)*$AU$4)*(데이터입력!$AF$14-100%)+((AR71*$AR$1)*$AU$4*$AV$4)*(데이터입력!$AF$14-100%)+((AR71*$AR$1)*$AW$4)*(데이터입력!$AF$14-100%),-1)),0)),0)</f>
        <v>2580530</v>
      </c>
      <c r="AZ71" s="977">
        <f>IFERROR(IF(AR71+AS71=0,0,IF(데이터입력!$AF$12=100%,(AT71),(AT71)+ROUND(AT71*(데이터입력!$AF$12-100%),-1))),0)</f>
        <v>2658000</v>
      </c>
      <c r="BA71" s="1097">
        <f>IFERROR(IF(AZ71=0,"",IF(AND(예산실적비교표!AP71&gt;0,예산실적비교표!AW71=0),"",ROUND(AZ71/12,0))),"")</f>
        <v>221500</v>
      </c>
      <c r="BB71" s="1096">
        <f>IF(BA71="","",IF(데이터입력!$O$70="",ROUND(AZ71/12,0),ROUND(데이터입력!$O$70/데이터입력!$Y$8/$BC$63,0)))</f>
        <v>221500</v>
      </c>
      <c r="BC71" s="991" t="str">
        <f>데이터입력!$B$48</f>
        <v>퇴직금 및 퇴직적립금(직접비)</v>
      </c>
      <c r="BD71" s="992" t="e">
        <f>#REF!</f>
        <v>#REF!</v>
      </c>
      <c r="BE71" s="992">
        <f>데이터입력!$L$48</f>
        <v>80978400</v>
      </c>
      <c r="BF71" s="993" t="e">
        <f t="shared" si="22"/>
        <v>#REF!</v>
      </c>
    </row>
    <row r="72" spans="1:58" ht="17.25" thickBot="1">
      <c r="A72" s="901">
        <f>IF($AM$1=TRUE,IF(K72="","",SUBTOTAL(2,$K$3:K72)),IF(AND(M72="",N72=""),"",IF(N72="",COUNT($M$3:M72),COUNT($N$3:N72)+200)))</f>
        <v>28</v>
      </c>
      <c r="B72" s="303" t="s">
        <v>67</v>
      </c>
      <c r="C72" s="303" t="s">
        <v>557</v>
      </c>
      <c r="D72" s="302">
        <v>504010201</v>
      </c>
      <c r="E72" s="302" t="s">
        <v>83</v>
      </c>
      <c r="F72" s="302" t="s">
        <v>80</v>
      </c>
      <c r="G72" s="304">
        <f>IFERROR(IF($E72="06",VLOOKUP($B72,예산실적비교표!$O$7:$R$200,2,FALSE),0),0)</f>
        <v>161400000</v>
      </c>
      <c r="H72" s="304">
        <f>IFERROR(IF($E72="06",VLOOKUP($C72,세출예산서!$K$3:$X$307,12,FALSE),0),0)</f>
        <v>177000000</v>
      </c>
      <c r="I72" s="304">
        <f>IFERROR(IF($E72="07",VLOOKUP($C72,세출예산서!$K$3:$X$307,13,FALSE),0),0)</f>
        <v>0</v>
      </c>
      <c r="J72" s="304">
        <f>IFERROR(IF($E72="05",VLOOKUP($C72,세출예산서!$K$3:$X$307,14,FALSE),0),0)</f>
        <v>0</v>
      </c>
      <c r="K72" s="304">
        <f t="shared" si="11"/>
        <v>15600000</v>
      </c>
      <c r="L72" s="305">
        <f>IFERROR(IF($AB$2="",0,ROUNDUP(VLOOKUP($B72,예산실적비교표!$O$7:$R$200,3,FALSE)/($Y$8-(12-$Y$9)),-2)*$Y$8),0)</f>
        <v>161400000</v>
      </c>
      <c r="M72" s="597">
        <f>IF($AM$1=TRUE,IF(K72="","",IF(IF($AE$2="",IF(K72="","",SUBTOTAL(2,$K$3:K72)),IF(AND(G72&gt;=0,K72=""),"",IF(AND(G72&gt;0,OR(K72&gt;0,K72&lt;0)),SUBTOTAL(2,$K$3:K72),IF(AND(G72=0,OR(K72&gt;0,K72&lt;0)),SUBTOTAL(2,$K$3:K72)+200,""))))&gt;200,"",1)),IF(K72="","",IF(IF($AE$2="",IF(K72="","",SUBTOTAL(2,$K$3:K72)),IF(AND(G72&gt;=0,K72=""),"",IF(AND(G72&gt;0,OR(K72&gt;0,K72&lt;0)),SUBTOTAL(2,$K$3:K72),IF(AND(G72=0,OR(K72&gt;0,K72&lt;0)),SUBTOTAL(2,$K$3:K72)+200,""))))&gt;200,"",1)))</f>
        <v>1</v>
      </c>
      <c r="N72" s="161" t="str">
        <f>IF($AM$1=TRUE,IF(K72="","",IF(IF($AE$2="",IF(K72="","",SUBTOTAL(2,$K$3:K72)),IF(AND(G72&gt;=0,K72=""),"",IF(AND(G72&gt;0,OR(K72&gt;0,K72&lt;0)),SUBTOTAL(2,$K$3:K72),IF(AND(G72=0,OR(K72&gt;0,K72&lt;0)),SUBTOTAL(2,$K$3:K72)+200,""))))&lt;=200,"",2)),IF(K72="","",IF(IF($AE$2="",IF(K72="","",SUBTOTAL(2,$K$3:K72)),IF(AND(G72&gt;=0,K72=""),"",IF(AND(G72&gt;0,OR(K72&gt;0,K72&lt;0)),SUBTOTAL(2,$K$3:K72),IF(AND(G72=0,OR(K72&gt;0,K72&lt;0)),SUBTOTAL(2,$K$3:K72)+200,""))))&lt;=200,"",2)))</f>
        <v/>
      </c>
      <c r="O72" s="482"/>
      <c r="P72" s="364">
        <f>IFERROR(IF(VLOOKUP(R72,$B$42:$L$80,11,FALSE)&gt;0,VLOOKUP(R72,$B$42:$L$80,11,FALSE),0),0)</f>
        <v>101683200</v>
      </c>
      <c r="Q72" s="486"/>
      <c r="R72" s="422" t="s">
        <v>48</v>
      </c>
      <c r="S72" s="423" t="s">
        <v>80</v>
      </c>
      <c r="T72" s="423"/>
      <c r="U72" s="491"/>
      <c r="V72" s="424" t="s">
        <v>128</v>
      </c>
      <c r="X72" s="1518" t="s">
        <v>370</v>
      </c>
      <c r="Y72" s="1519"/>
      <c r="Z72" s="1519"/>
      <c r="AA72" s="1519"/>
      <c r="AB72" s="1519"/>
      <c r="AC72" s="1520"/>
      <c r="AD72" s="1558" t="s">
        <v>813</v>
      </c>
      <c r="AE72" s="1559"/>
      <c r="AF72" s="1560"/>
      <c r="AH72" s="279" t="str">
        <f>세출예산서!L287</f>
        <v xml:space="preserve">  - </v>
      </c>
      <c r="AI72" s="1346">
        <f>세출예산서!V287</f>
        <v>0</v>
      </c>
      <c r="AJ72" s="1347"/>
      <c r="AP72" s="1035" t="str">
        <f>IF(예산실적비교표!AL72&lt;&gt;"",예산실적비교표!AL72,"")</f>
        <v>김종길</v>
      </c>
      <c r="AQ72" s="1036" t="str">
        <f>IF(예산실적비교표!AM72&lt;&gt;"",예산실적비교표!AM72,"")</f>
        <v>요양보호사 1급</v>
      </c>
      <c r="AR72" s="1037">
        <v>2376485</v>
      </c>
      <c r="AS72" s="1038">
        <f>IF(예산실적비교표!AO72&lt;&gt;"",예산실적비교표!AO72,0)</f>
        <v>0</v>
      </c>
      <c r="AT72" s="971">
        <f t="shared" si="18"/>
        <v>2448000</v>
      </c>
      <c r="AU72" s="1039">
        <f>IF(예산실적비교표!AQ72&lt;&gt;"",예산실적비교표!AQ72,0)</f>
        <v>0</v>
      </c>
      <c r="AV72" s="973">
        <f t="shared" si="19"/>
        <v>204000</v>
      </c>
      <c r="AW72" s="974">
        <f>IF(AR72="",0,ROUND((AT72*$AT$7)*데이터입력!$AF$14+(AT72*$AU$7)*데이터입력!$AF$14+(AT72*$AU$7*$AV$7)*데이터입력!$AF$14+(AT72*$AW$7)*데이터입력!$AF$14+(AT72*$AX$7)*데이터입력!$AF$14,-1))</f>
        <v>342980</v>
      </c>
      <c r="AX72" s="975">
        <f t="shared" si="20"/>
        <v>2994980</v>
      </c>
      <c r="AY72" s="976">
        <f>IFERROR(IF($AE$2=TRUE,IF(AR72+AS72=0,0,AR72+AS72),ROUND(IF(데이터입력!$AF$14=100%,ROUND(AR72*$AR$1,-3),ROUND(AR72*$AR$1,-3)-ROUND(((AR72*$AR$1)*$AT$4)*(데이터입력!$AF$14-100%)+((AR72*$AR$1)*$AU$4)*(데이터입력!$AF$14-100%)+((AR72*$AR$1)*$AU$4*$AV$4)*(데이터입력!$AF$14-100%)+((AR72*$AR$1)*$AW$4)*(데이터입력!$AF$14-100%),-1)),0)),0)</f>
        <v>2376640</v>
      </c>
      <c r="AZ72" s="977">
        <f>IFERROR(IF(AR72+AS72=0,0,IF(데이터입력!$AF$12=100%,(AT72),(AT72)+ROUND(AT72*(데이터입력!$AF$12-100%),-1))),0)</f>
        <v>2448000</v>
      </c>
      <c r="BA72" s="1097">
        <f>IFERROR(IF(AZ72=0,"",IF(AND(예산실적비교표!AP72&gt;0,예산실적비교표!AW72=0),"",ROUND(AZ72/12,0))),"")</f>
        <v>204000</v>
      </c>
      <c r="BB72" s="1096">
        <f>IF(BA72="","",IF(데이터입력!$O$70="",ROUND(AZ72/12,0),ROUND(데이터입력!$O$70/데이터입력!$Y$8/$BC$63,0)))</f>
        <v>204000</v>
      </c>
      <c r="BC72" s="994" t="str">
        <f>데이터입력!$B$49</f>
        <v>퇴직금 및 퇴직적립금(간접비)</v>
      </c>
      <c r="BD72" s="995" t="e">
        <f>#REF!</f>
        <v>#REF!</v>
      </c>
      <c r="BE72" s="995">
        <f>데이터입력!$L$49</f>
        <v>0</v>
      </c>
      <c r="BF72" s="996" t="e">
        <f t="shared" si="22"/>
        <v>#REF!</v>
      </c>
    </row>
    <row r="73" spans="1:58" ht="17.25" thickBot="1">
      <c r="A73" s="901" t="str">
        <f>IF($AM$1=TRUE,IF(K73="","",SUBTOTAL(2,$K$3:K73)),IF(AND(M73="",N73=""),"",IF(N73="",COUNT($M$3:M73),COUNT($N$3:N73)+200)))</f>
        <v/>
      </c>
      <c r="B73" s="303" t="s">
        <v>68</v>
      </c>
      <c r="C73" s="303" t="s">
        <v>558</v>
      </c>
      <c r="D73" s="302">
        <v>505010101</v>
      </c>
      <c r="E73" s="302" t="s">
        <v>83</v>
      </c>
      <c r="F73" s="302" t="s">
        <v>80</v>
      </c>
      <c r="G73" s="304">
        <f>IFERROR(IF($E73="06",VLOOKUP($B73,예산실적비교표!$O$7:$R$200,2,FALSE),0),0)</f>
        <v>0</v>
      </c>
      <c r="H73" s="304">
        <f>IFERROR(IF($E73="06",VLOOKUP($C73,세출예산서!$K$3:$X$307,12,FALSE),0),0)</f>
        <v>0</v>
      </c>
      <c r="I73" s="304">
        <f>IFERROR(IF($E73="07",VLOOKUP($C73,세출예산서!$K$3:$X$307,13,FALSE),0),0)</f>
        <v>0</v>
      </c>
      <c r="J73" s="304">
        <f>IFERROR(IF($E73="05",VLOOKUP($C73,세출예산서!$K$3:$X$307,14,FALSE),0),0)</f>
        <v>0</v>
      </c>
      <c r="K73" s="304" t="str">
        <f t="shared" si="11"/>
        <v/>
      </c>
      <c r="L73" s="305">
        <f>IFERROR(IF($AB$2="",0,ROUNDUP(VLOOKUP($B73,예산실적비교표!$O$7:$R$200,3,FALSE)*$Y$7/($Y$8-(12-$Y$9)),-2)*$Y$8),0)</f>
        <v>0</v>
      </c>
      <c r="M73" s="597" t="str">
        <f>IF($AM$1=TRUE,IF(K73="","",IF(IF($AE$2="",IF(K73="","",SUBTOTAL(2,$K$3:K73)),IF(AND(G73&gt;=0,K73=""),"",IF(AND(G73&gt;0,OR(K73&gt;0,K73&lt;0)),SUBTOTAL(2,$K$3:K73),IF(AND(G73=0,OR(K73&gt;0,K73&lt;0)),SUBTOTAL(2,$K$3:K73)+200,""))))&gt;200,"",1)),IF(K73="","",IF(IF($AE$2="",IF(K73="","",SUBTOTAL(2,$K$3:K73)),IF(AND(G73&gt;=0,K73=""),"",IF(AND(G73&gt;0,OR(K73&gt;0,K73&lt;0)),SUBTOTAL(2,$K$3:K73),IF(AND(G73=0,OR(K73&gt;0,K73&lt;0)),SUBTOTAL(2,$K$3:K73)+200,""))))&gt;200,"",1)))</f>
        <v/>
      </c>
      <c r="N73" s="161" t="str">
        <f>IF($AM$1=TRUE,IF(K73="","",IF(IF($AE$2="",IF(K73="","",SUBTOTAL(2,$K$3:K73)),IF(AND(G73&gt;=0,K73=""),"",IF(AND(G73&gt;0,OR(K73&gt;0,K73&lt;0)),SUBTOTAL(2,$K$3:K73),IF(AND(G73=0,OR(K73&gt;0,K73&lt;0)),SUBTOTAL(2,$K$3:K73)+200,""))))&lt;=200,"",2)),IF(K73="","",IF(IF($AE$2="",IF(K73="","",SUBTOTAL(2,$K$3:K73)),IF(AND(G73&gt;=0,K73=""),"",IF(AND(G73&gt;0,OR(K73&gt;0,K73&lt;0)),SUBTOTAL(2,$K$3:K73),IF(AND(G73=0,OR(K73&gt;0,K73&lt;0)),SUBTOTAL(2,$K$3:K73)+200,""))))&lt;=200,"",2)))</f>
        <v/>
      </c>
      <c r="O73" s="482"/>
      <c r="P73" s="364">
        <f>IFERROR(IF(VLOOKUP(R73,$B$42:$L$80,11,FALSE)&gt;0,VLOOKUP(R73,$B$42:$L$80,11,FALSE),0),0)</f>
        <v>8664000</v>
      </c>
      <c r="Q73" s="486"/>
      <c r="R73" s="422" t="s">
        <v>49</v>
      </c>
      <c r="S73" s="423" t="s">
        <v>80</v>
      </c>
      <c r="T73" s="423"/>
      <c r="U73" s="491"/>
      <c r="V73" s="424" t="s">
        <v>128</v>
      </c>
      <c r="X73" s="1521"/>
      <c r="Y73" s="1522"/>
      <c r="Z73" s="1522"/>
      <c r="AA73" s="1522"/>
      <c r="AB73" s="1522"/>
      <c r="AC73" s="1523"/>
      <c r="AD73" s="345" t="s">
        <v>814</v>
      </c>
      <c r="AE73" s="748">
        <f>ROUND(세출예산서!$Z$196/AF74,-3)</f>
        <v>13811000</v>
      </c>
      <c r="AF73" s="418" t="s">
        <v>660</v>
      </c>
      <c r="AH73" s="279" t="str">
        <f>세출예산서!L288</f>
        <v xml:space="preserve">  - </v>
      </c>
      <c r="AI73" s="1346">
        <f>세출예산서!V288</f>
        <v>0</v>
      </c>
      <c r="AJ73" s="1347"/>
      <c r="AP73" s="1035" t="str">
        <f>IF(예산실적비교표!AL73&lt;&gt;"",예산실적비교표!AL73,"")</f>
        <v>류종희</v>
      </c>
      <c r="AQ73" s="1036" t="str">
        <f>IF(예산실적비교표!AM73&lt;&gt;"",예산실적비교표!AM73,"")</f>
        <v>요양보호사 1급</v>
      </c>
      <c r="AR73" s="1037">
        <v>2376485</v>
      </c>
      <c r="AS73" s="1038">
        <f>IF(예산실적비교표!AO73&lt;&gt;"",예산실적비교표!AO73,0)</f>
        <v>0</v>
      </c>
      <c r="AT73" s="971">
        <f t="shared" si="18"/>
        <v>2448000</v>
      </c>
      <c r="AU73" s="1039">
        <f>IF(예산실적비교표!AQ73&lt;&gt;"",예산실적비교표!AQ73,0)</f>
        <v>0</v>
      </c>
      <c r="AV73" s="973">
        <f t="shared" si="19"/>
        <v>204000</v>
      </c>
      <c r="AW73" s="974">
        <f>IF(AR73="",0,ROUND((AT73*$AT$7)*데이터입력!$AF$14+(AT73*$AU$7)*데이터입력!$AF$14+(AT73*$AU$7*$AV$7)*데이터입력!$AF$14+(AT73*$AW$7)*데이터입력!$AF$14+(AT73*$AX$7)*데이터입력!$AF$14,-1))</f>
        <v>342980</v>
      </c>
      <c r="AX73" s="975">
        <f t="shared" si="20"/>
        <v>2994980</v>
      </c>
      <c r="AY73" s="976">
        <f>IFERROR(IF($AE$2=TRUE,IF(AR73+AS73=0,0,AR73+AS73),ROUND(IF(데이터입력!$AF$14=100%,ROUND(AR73*$AR$1,-3),ROUND(AR73*$AR$1,-3)-ROUND(((AR73*$AR$1)*$AT$4)*(데이터입력!$AF$14-100%)+((AR73*$AR$1)*$AU$4)*(데이터입력!$AF$14-100%)+((AR73*$AR$1)*$AU$4*$AV$4)*(데이터입력!$AF$14-100%)+((AR73*$AR$1)*$AW$4)*(데이터입력!$AF$14-100%),-1)),0)),0)</f>
        <v>2376640</v>
      </c>
      <c r="AZ73" s="977">
        <f>IFERROR(IF(AR73+AS73=0,0,IF(데이터입력!$AF$12=100%,(AT73),(AT73)+ROUND(AT73*(데이터입력!$AF$12-100%),-1))),0)</f>
        <v>2448000</v>
      </c>
      <c r="BA73" s="1097">
        <f>IFERROR(IF(AZ73=0,"",IF(AND(예산실적비교표!AP73&gt;0,예산실적비교표!AW73=0),"",ROUND(AZ73/12,0))),"")</f>
        <v>204000</v>
      </c>
      <c r="BB73" s="1096">
        <f>IF(BA73="","",IF(데이터입력!$O$70="",ROUND(AZ73/12,0),ROUND(데이터입력!$O$70/데이터입력!$Y$8/$BC$63,0)))</f>
        <v>204000</v>
      </c>
      <c r="BC73" s="1128" t="s">
        <v>159</v>
      </c>
      <c r="BD73" s="1573">
        <f>데이터입력!$Y$12</f>
        <v>0</v>
      </c>
      <c r="BE73" s="1574"/>
      <c r="BF73" s="1575"/>
    </row>
    <row r="74" spans="1:58" ht="17.25" thickBot="1">
      <c r="A74" s="901" t="str">
        <f>IF($AM$1=TRUE,IF(K74="","",SUBTOTAL(2,$K$3:K74)),IF(AND(M74="",N74=""),"",IF(N74="",COUNT($M$3:M74),COUNT($N$3:N74)+200)))</f>
        <v/>
      </c>
      <c r="B74" s="303" t="s">
        <v>69</v>
      </c>
      <c r="C74" s="303" t="s">
        <v>559</v>
      </c>
      <c r="D74" s="302">
        <v>506010101</v>
      </c>
      <c r="E74" s="302" t="s">
        <v>83</v>
      </c>
      <c r="F74" s="302" t="s">
        <v>80</v>
      </c>
      <c r="G74" s="304">
        <f>IFERROR(IF($E74="06",VLOOKUP($B74,예산실적비교표!$O$7:$R$200,2,FALSE),0),0)</f>
        <v>0</v>
      </c>
      <c r="H74" s="304">
        <f>IFERROR(IF($E74="06",VLOOKUP($C74,세출예산서!$K$3:$X$307,12,FALSE),0),0)</f>
        <v>0</v>
      </c>
      <c r="I74" s="304">
        <f>IFERROR(IF($E74="07",VLOOKUP($C74,세출예산서!$K$3:$X$307,13,FALSE),0),0)</f>
        <v>0</v>
      </c>
      <c r="J74" s="304">
        <f>IFERROR(IF($E74="05",VLOOKUP($C74,세출예산서!$K$3:$X$307,14,FALSE),0),0)</f>
        <v>0</v>
      </c>
      <c r="K74" s="304" t="str">
        <f t="shared" si="11"/>
        <v/>
      </c>
      <c r="L74" s="305">
        <f>IFERROR(IF($AB$2="",0,ROUNDUP(VLOOKUP($B74,예산실적비교표!$O$7:$R$200,3,FALSE)/($Y$8-(12-$Y$9)),-2)*$Y$8),0)</f>
        <v>0</v>
      </c>
      <c r="M74" s="597" t="str">
        <f>IF($AM$1=TRUE,IF(K74="","",IF(IF($AE$2="",IF(K74="","",SUBTOTAL(2,$K$3:K74)),IF(AND(G74&gt;=0,K74=""),"",IF(AND(G74&gt;0,OR(K74&gt;0,K74&lt;0)),SUBTOTAL(2,$K$3:K74),IF(AND(G74=0,OR(K74&gt;0,K74&lt;0)),SUBTOTAL(2,$K$3:K74)+200,""))))&gt;200,"",1)),IF(K74="","",IF(IF($AE$2="",IF(K74="","",SUBTOTAL(2,$K$3:K74)),IF(AND(G74&gt;=0,K74=""),"",IF(AND(G74&gt;0,OR(K74&gt;0,K74&lt;0)),SUBTOTAL(2,$K$3:K74),IF(AND(G74=0,OR(K74&gt;0,K74&lt;0)),SUBTOTAL(2,$K$3:K74)+200,""))))&gt;200,"",1)))</f>
        <v/>
      </c>
      <c r="N74" s="161" t="str">
        <f>IF($AM$1=TRUE,IF(K74="","",IF(IF($AE$2="",IF(K74="","",SUBTOTAL(2,$K$3:K74)),IF(AND(G74&gt;=0,K74=""),"",IF(AND(G74&gt;0,OR(K74&gt;0,K74&lt;0)),SUBTOTAL(2,$K$3:K74),IF(AND(G74=0,OR(K74&gt;0,K74&lt;0)),SUBTOTAL(2,$K$3:K74)+200,""))))&lt;=200,"",2)),IF(K74="","",IF(IF($AE$2="",IF(K74="","",SUBTOTAL(2,$K$3:K74)),IF(AND(G74&gt;=0,K74=""),"",IF(AND(G74&gt;0,OR(K74&gt;0,K74&lt;0)),SUBTOTAL(2,$K$3:K74),IF(AND(G74=0,OR(K74&gt;0,K74&lt;0)),SUBTOTAL(2,$K$3:K74)+200,""))))&lt;=200,"",2)))</f>
        <v/>
      </c>
      <c r="O74" s="482"/>
      <c r="P74" s="364">
        <f>IFERROR(IF($AE$2="추경",IF(VLOOKUP(R74,$B$42:$L$80,6,FALSE)&gt;=VLOOKUP(R74,$B$42:$L$80,11,FALSE),VLOOKUP(R74,$B$42:$L$80,6,FALSE),VLOOKUP(R74,예산평균!$B:$D,3,FALSE)),IF(VLOOKUP(R74,$B$42:$L$80,11,FALSE)&gt;0,IF(VLOOKUP(R74,$B$42:$L$80,6,FALSE)&gt;=VLOOKUP(R74,$B$42:$L$80,11,FALSE),VLOOKUP(R74,$B$42:$L$80,6,FALSE),ROUNDUP(VLOOKUP(R74,$B$42:$L$80,11,FALSE)/U74,-4)*U74),VLOOKUP(R74,예산평균!$B:$D,3,FALSE))),0)</f>
        <v>6000000</v>
      </c>
      <c r="Q74" s="487">
        <v>0</v>
      </c>
      <c r="R74" s="422" t="s">
        <v>50</v>
      </c>
      <c r="S74" s="423" t="s">
        <v>80</v>
      </c>
      <c r="T74" s="358">
        <f t="shared" ref="T74:T137" si="23">IF(O74="",P74,O74)</f>
        <v>6000000</v>
      </c>
      <c r="U74" s="490">
        <f>IF(Q74=0,$Y$8,Q74)</f>
        <v>12</v>
      </c>
      <c r="V74" s="360" t="s">
        <v>126</v>
      </c>
      <c r="X74" s="345" t="s">
        <v>210</v>
      </c>
      <c r="Y74" s="536">
        <f>ROUND(세입예산서!Z48/$U$57,-3)</f>
        <v>0</v>
      </c>
      <c r="Z74" s="345" t="s">
        <v>211</v>
      </c>
      <c r="AA74" s="748">
        <f>ROUND(세입예산서!Z56/$U$58,-3)</f>
        <v>0</v>
      </c>
      <c r="AB74" s="345" t="s">
        <v>213</v>
      </c>
      <c r="AC74" s="752">
        <f>ROUND(세입예산서!Z76/$U$60,-3)</f>
        <v>0</v>
      </c>
      <c r="AD74" s="911" t="s">
        <v>816</v>
      </c>
      <c r="AE74" s="757">
        <f>AE73-AE75</f>
        <v>13811000</v>
      </c>
      <c r="AF74" s="537">
        <f>$Y$8</f>
        <v>12</v>
      </c>
      <c r="AH74" s="279" t="str">
        <f>세출예산서!L289</f>
        <v xml:space="preserve">  - </v>
      </c>
      <c r="AI74" s="1346">
        <f>세출예산서!V289</f>
        <v>0</v>
      </c>
      <c r="AJ74" s="1347"/>
      <c r="AP74" s="1035" t="str">
        <f>IF(예산실적비교표!AL74&lt;&gt;"",예산실적비교표!AL74,"")</f>
        <v>채미경</v>
      </c>
      <c r="AQ74" s="1036" t="str">
        <f>IF(예산실적비교표!AM74&lt;&gt;"",예산실적비교표!AM74,"")</f>
        <v>요양보호사 1급</v>
      </c>
      <c r="AR74" s="1037">
        <v>2378875</v>
      </c>
      <c r="AS74" s="1038">
        <f>IF(예산실적비교표!AO74&lt;&gt;"",예산실적비교표!AO74,0)</f>
        <v>0</v>
      </c>
      <c r="AT74" s="971">
        <f t="shared" si="18"/>
        <v>2450000</v>
      </c>
      <c r="AU74" s="1039">
        <f>IF(예산실적비교표!AQ74&lt;&gt;"",예산실적비교표!AQ74,0)</f>
        <v>0</v>
      </c>
      <c r="AV74" s="973">
        <f t="shared" si="19"/>
        <v>204167</v>
      </c>
      <c r="AW74" s="974">
        <f>IF(AR74="",0,ROUND((AT74*$AT$7)*데이터입력!$AF$14+(AT74*$AU$7)*데이터입력!$AF$14+(AT74*$AU$7*$AV$7)*데이터입력!$AF$14+(AT74*$AW$7)*데이터입력!$AF$14+(AT74*$AX$7)*데이터입력!$AF$14,-1))</f>
        <v>343260</v>
      </c>
      <c r="AX74" s="975">
        <f t="shared" si="20"/>
        <v>2997427</v>
      </c>
      <c r="AY74" s="976">
        <f>IFERROR(IF($AE$2=TRUE,IF(AR74+AS74=0,0,AR74+AS74),ROUND(IF(데이터입력!$AF$14=100%,ROUND(AR74*$AR$1,-3),ROUND(AR74*$AR$1,-3)-ROUND(((AR74*$AR$1)*$AT$4)*(데이터입력!$AF$14-100%)+((AR74*$AR$1)*$AU$4)*(데이터입력!$AF$14-100%)+((AR74*$AR$1)*$AU$4*$AV$4)*(데이터입력!$AF$14-100%)+((AR74*$AR$1)*$AW$4)*(데이터입력!$AF$14-100%),-1)),0)),0)</f>
        <v>2378570</v>
      </c>
      <c r="AZ74" s="977">
        <f>IFERROR(IF(AR74+AS74=0,0,IF(데이터입력!$AF$12=100%,(AT74),(AT74)+ROUND(AT74*(데이터입력!$AF$12-100%),-1))),0)</f>
        <v>2450000</v>
      </c>
      <c r="BA74" s="1097">
        <f>IFERROR(IF(AZ74=0,"",IF(AND(예산실적비교표!AP74&gt;0,예산실적비교표!AW74=0),"",ROUND(AZ74/12,0))),"")</f>
        <v>204167</v>
      </c>
      <c r="BB74" s="1096">
        <f>IF(BA74="","",IF(데이터입력!$O$70="",ROUND(AZ74/12,0),ROUND(데이터입력!$O$70/데이터입력!$Y$8/$BC$63,0)))</f>
        <v>204167</v>
      </c>
    </row>
    <row r="75" spans="1:58" ht="17.25" thickBot="1">
      <c r="A75" s="901" t="str">
        <f>IF($AM$1=TRUE,IF(K75="","",SUBTOTAL(2,$K$3:K75)),IF(AND(M75="",N75=""),"",IF(N75="",COUNT($M$3:M75),COUNT($N$3:N75)+200)))</f>
        <v/>
      </c>
      <c r="B75" s="303" t="s">
        <v>70</v>
      </c>
      <c r="C75" s="303" t="s">
        <v>560</v>
      </c>
      <c r="D75" s="302">
        <v>506010201</v>
      </c>
      <c r="E75" s="302" t="s">
        <v>83</v>
      </c>
      <c r="F75" s="302" t="s">
        <v>80</v>
      </c>
      <c r="G75" s="304">
        <f>IFERROR(IF($E75="06",VLOOKUP($B75,예산실적비교표!$O$7:$R$200,2,FALSE),0),0)</f>
        <v>0</v>
      </c>
      <c r="H75" s="304">
        <f>IFERROR(IF($E75="06",VLOOKUP($C75,세출예산서!$K$3:$X$307,12,FALSE),0),0)</f>
        <v>0</v>
      </c>
      <c r="I75" s="304">
        <f>IFERROR(IF($E75="07",VLOOKUP($C75,세출예산서!$K$3:$X$307,13,FALSE),0),0)</f>
        <v>0</v>
      </c>
      <c r="J75" s="304">
        <f>IFERROR(IF($E75="05",VLOOKUP($C75,세출예산서!$K$3:$X$307,14,FALSE),0),0)</f>
        <v>0</v>
      </c>
      <c r="K75" s="304" t="str">
        <f t="shared" si="11"/>
        <v/>
      </c>
      <c r="L75" s="305">
        <f>IFERROR(IF($AB$2="",0,ROUNDUP(VLOOKUP($B75,예산실적비교표!$O$7:$R$200,3,FALSE)/($Y$8-(12-$Y$9)),-2)*$Y$8),0)</f>
        <v>0</v>
      </c>
      <c r="M75" s="597" t="str">
        <f>IF($AM$1=TRUE,IF(K75="","",IF(IF($AE$2="",IF(K75="","",SUBTOTAL(2,$K$3:K75)),IF(AND(G75&gt;=0,K75=""),"",IF(AND(G75&gt;0,OR(K75&gt;0,K75&lt;0)),SUBTOTAL(2,$K$3:K75),IF(AND(G75=0,OR(K75&gt;0,K75&lt;0)),SUBTOTAL(2,$K$3:K75)+200,""))))&gt;200,"",1)),IF(K75="","",IF(IF($AE$2="",IF(K75="","",SUBTOTAL(2,$K$3:K75)),IF(AND(G75&gt;=0,K75=""),"",IF(AND(G75&gt;0,OR(K75&gt;0,K75&lt;0)),SUBTOTAL(2,$K$3:K75),IF(AND(G75=0,OR(K75&gt;0,K75&lt;0)),SUBTOTAL(2,$K$3:K75)+200,""))))&gt;200,"",1)))</f>
        <v/>
      </c>
      <c r="N75" s="161" t="str">
        <f>IF($AM$1=TRUE,IF(K75="","",IF(IF($AE$2="",IF(K75="","",SUBTOTAL(2,$K$3:K75)),IF(AND(G75&gt;=0,K75=""),"",IF(AND(G75&gt;0,OR(K75&gt;0,K75&lt;0)),SUBTOTAL(2,$K$3:K75),IF(AND(G75=0,OR(K75&gt;0,K75&lt;0)),SUBTOTAL(2,$K$3:K75)+200,""))))&lt;=200,"",2)),IF(K75="","",IF(IF($AE$2="",IF(K75="","",SUBTOTAL(2,$K$3:K75)),IF(AND(G75&gt;=0,K75=""),"",IF(AND(G75&gt;0,OR(K75&gt;0,K75&lt;0)),SUBTOTAL(2,$K$3:K75),IF(AND(G75=0,OR(K75&gt;0,K75&lt;0)),SUBTOTAL(2,$K$3:K75)+200,""))))&lt;=200,"",2)))</f>
        <v/>
      </c>
      <c r="O75" s="482"/>
      <c r="P75" s="364">
        <f>IFERROR(IF($AE$2="추경",IF(VLOOKUP(R75,$B$42:$L$80,6,FALSE)&gt;=VLOOKUP(R75,$B$42:$L$80,11,FALSE),VLOOKUP(R75,$B$42:$L$80,6,FALSE),VLOOKUP(R75,예산평균!$B:$D,3,FALSE)),IF(VLOOKUP(R75,$B$42:$L$80,11,FALSE)&gt;0,IF(VLOOKUP(R75,$B$42:$L$80,6,FALSE)&gt;=VLOOKUP(R75,$B$42:$L$80,11,FALSE),VLOOKUP(R75,$B$42:$L$80,6,FALSE),ROUNDUP(VLOOKUP(R75,$B$42:$L$80,11,FALSE)/U75,-4)*U75),VLOOKUP(R75,예산평균!$B:$D,3,FALSE))),0)</f>
        <v>12000000</v>
      </c>
      <c r="Q75" s="487">
        <v>0</v>
      </c>
      <c r="R75" s="422" t="s">
        <v>51</v>
      </c>
      <c r="S75" s="423" t="s">
        <v>80</v>
      </c>
      <c r="T75" s="358">
        <f t="shared" si="23"/>
        <v>12000000</v>
      </c>
      <c r="U75" s="490">
        <f>IF(Q75=0,$Y$8,Q75)</f>
        <v>12</v>
      </c>
      <c r="V75" s="360" t="s">
        <v>126</v>
      </c>
      <c r="X75" s="914" t="str">
        <f>IF(예산실적비교표!A65="X","",예산실적비교표!A65)</f>
        <v>국고보조금</v>
      </c>
      <c r="Y75" s="757">
        <f>Y74-Y76-Y77</f>
        <v>0</v>
      </c>
      <c r="Z75" s="914" t="str">
        <f>IF(예산실적비교표!C65="X","",예산실적비교표!C65)</f>
        <v>시도보조금</v>
      </c>
      <c r="AA75" s="757">
        <f>AA74-AA76-AA77</f>
        <v>0</v>
      </c>
      <c r="AB75" s="914" t="str">
        <f>IF(예산실적비교표!E65="X","",예산실적비교표!E65)</f>
        <v>기타보조금</v>
      </c>
      <c r="AC75" s="757">
        <f>AC74-AC76-AC77</f>
        <v>0</v>
      </c>
      <c r="AD75" s="556" t="str">
        <f>IF(예산실적비교표!G72="X","",예산실적비교표!G72)</f>
        <v/>
      </c>
      <c r="AE75" s="751">
        <f>IF($AB$2="",0,예산실적비교표!H72)</f>
        <v>0</v>
      </c>
      <c r="AF75" s="537">
        <f>IF($Y$8&lt;&gt;예산실적비교표!$B$3,$Y$8,예산실적비교표!I72)</f>
        <v>12</v>
      </c>
      <c r="AH75" s="295" t="str">
        <f>세출예산서!L290</f>
        <v xml:space="preserve">  - </v>
      </c>
      <c r="AI75" s="1359">
        <f>세출예산서!V290</f>
        <v>0</v>
      </c>
      <c r="AJ75" s="1360"/>
      <c r="AP75" s="1035" t="str">
        <f>IF(예산실적비교표!AL75&lt;&gt;"",예산실적비교표!AL75,"")</f>
        <v>이춘희</v>
      </c>
      <c r="AQ75" s="1036" t="str">
        <f>IF(예산실적비교표!AM75&lt;&gt;"",예산실적비교표!AM75,"")</f>
        <v>요양보호사 1급</v>
      </c>
      <c r="AR75" s="1037">
        <v>2270192</v>
      </c>
      <c r="AS75" s="1038">
        <f>IF(예산실적비교표!AO75&lt;&gt;"",예산실적비교표!AO75,0)</f>
        <v>0</v>
      </c>
      <c r="AT75" s="971">
        <f t="shared" si="18"/>
        <v>2338000</v>
      </c>
      <c r="AU75" s="1039">
        <f>IF(예산실적비교표!AQ75&lt;&gt;"",예산실적비교표!AQ75,0)</f>
        <v>0</v>
      </c>
      <c r="AV75" s="973">
        <f t="shared" si="19"/>
        <v>194833</v>
      </c>
      <c r="AW75" s="974">
        <f>IF(AR75="",0,ROUND((AT75*$AT$7)*데이터입력!$AF$14+(AT75*$AU$7)*데이터입력!$AF$14+(AT75*$AU$7*$AV$7)*데이터입력!$AF$14+(AT75*$AW$7)*데이터입력!$AF$14+(AT75*$AX$7)*데이터입력!$AF$14,-1))</f>
        <v>327570</v>
      </c>
      <c r="AX75" s="975">
        <f t="shared" si="20"/>
        <v>2860403</v>
      </c>
      <c r="AY75" s="976">
        <f>IFERROR(IF($AE$2=TRUE,IF(AR75+AS75=0,0,AR75+AS75),ROUND(IF(데이터입력!$AF$14=100%,ROUND(AR75*$AR$1,-3),ROUND(AR75*$AR$1,-3)-ROUND(((AR75*$AR$1)*$AT$4)*(데이터입력!$AF$14-100%)+((AR75*$AR$1)*$AU$4)*(데이터입력!$AF$14-100%)+((AR75*$AR$1)*$AU$4*$AV$4)*(데이터입력!$AF$14-100%)+((AR75*$AR$1)*$AW$4)*(데이터입력!$AF$14-100%),-1)),0)),0)</f>
        <v>2269830</v>
      </c>
      <c r="AZ75" s="977">
        <f>IFERROR(IF(AR75+AS75=0,0,IF(데이터입력!$AF$12=100%,(AT75),(AT75)+ROUND(AT75*(데이터입력!$AF$12-100%),-1))),0)</f>
        <v>2338000</v>
      </c>
      <c r="BA75" s="1097">
        <f>IFERROR(IF(AZ75=0,"",IF(AND(예산실적비교표!AP75&gt;0,예산실적비교표!AW75=0),"",ROUND(AZ75/12,0))),"")</f>
        <v>194833</v>
      </c>
      <c r="BB75" s="1096">
        <f>IF(BA75="","",IF(데이터입력!$O$70="",ROUND(AZ75/12,0),ROUND(데이터입력!$O$70/데이터입력!$Y$8/$BC$63,0)))</f>
        <v>194833</v>
      </c>
    </row>
    <row r="76" spans="1:58" ht="17.25" thickBot="1">
      <c r="A76" s="901">
        <f>IF($AM$1=TRUE,IF(K76="","",SUBTOTAL(2,$K$3:K76)),IF(AND(M76="",N76=""),"",IF(N76="",COUNT($M$3:M76),COUNT($N$3:N76)+200)))</f>
        <v>29</v>
      </c>
      <c r="B76" s="303" t="s">
        <v>71</v>
      </c>
      <c r="C76" s="303" t="s">
        <v>561</v>
      </c>
      <c r="D76" s="302">
        <v>507010101</v>
      </c>
      <c r="E76" s="302" t="s">
        <v>83</v>
      </c>
      <c r="F76" s="302" t="s">
        <v>80</v>
      </c>
      <c r="G76" s="304">
        <f>IFERROR(IF($E76="06",VLOOKUP($B76,예산실적비교표!$O$7:$R$200,2,FALSE),0),0)</f>
        <v>5747977</v>
      </c>
      <c r="H76" s="304">
        <f>IFERROR(IF($E76="06",VLOOKUP($C76,세출예산서!$K$3:$X$307,12,FALSE),0),0)</f>
        <v>1087016977</v>
      </c>
      <c r="I76" s="304">
        <f>IFERROR(IF($E76="07",VLOOKUP($C76,세출예산서!$K$3:$X$307,13,FALSE),0),0)</f>
        <v>0</v>
      </c>
      <c r="J76" s="304">
        <f>IFERROR(IF($E76="05",VLOOKUP($C76,세출예산서!$K$3:$X$307,14,FALSE),0),0)</f>
        <v>0</v>
      </c>
      <c r="K76" s="304">
        <f t="shared" si="11"/>
        <v>1081269000</v>
      </c>
      <c r="L76" s="305">
        <f>IFERROR(IF($AB$2="",0,ROUNDUP(VLOOKUP($B76,예산실적비교표!$O$7:$R$200,3,FALSE)/($Y$8-(12-$Y$9)),-2)*$Y$8),0)</f>
        <v>5748000</v>
      </c>
      <c r="M76" s="597">
        <f>IF($AM$1=TRUE,IF(K76="","",IF(IF($AE$2="",IF(K76="","",SUBTOTAL(2,$K$3:K76)),IF(AND(G76&gt;=0,K76=""),"",IF(AND(G76&gt;0,OR(K76&gt;0,K76&lt;0)),SUBTOTAL(2,$K$3:K76),IF(AND(G76=0,OR(K76&gt;0,K76&lt;0)),SUBTOTAL(2,$K$3:K76)+200,""))))&gt;200,"",1)),IF(K76="","",IF(IF($AE$2="",IF(K76="","",SUBTOTAL(2,$K$3:K76)),IF(AND(G76&gt;=0,K76=""),"",IF(AND(G76&gt;0,OR(K76&gt;0,K76&lt;0)),SUBTOTAL(2,$K$3:K76),IF(AND(G76=0,OR(K76&gt;0,K76&lt;0)),SUBTOTAL(2,$K$3:K76)+200,""))))&gt;200,"",1)))</f>
        <v>1</v>
      </c>
      <c r="N76" s="161" t="str">
        <f>IF($AM$1=TRUE,IF(K76="","",IF(IF($AE$2="",IF(K76="","",SUBTOTAL(2,$K$3:K76)),IF(AND(G76&gt;=0,K76=""),"",IF(AND(G76&gt;0,OR(K76&gt;0,K76&lt;0)),SUBTOTAL(2,$K$3:K76),IF(AND(G76=0,OR(K76&gt;0,K76&lt;0)),SUBTOTAL(2,$K$3:K76)+200,""))))&lt;=200,"",2)),IF(K76="","",IF(IF($AE$2="",IF(K76="","",SUBTOTAL(2,$K$3:K76)),IF(AND(G76&gt;=0,K76=""),"",IF(AND(G76&gt;0,OR(K76&gt;0,K76&lt;0)),SUBTOTAL(2,$K$3:K76),IF(AND(G76=0,OR(K76&gt;0,K76&lt;0)),SUBTOTAL(2,$K$3:K76)+200,""))))&lt;=200,"",2)))</f>
        <v/>
      </c>
      <c r="O76" s="482"/>
      <c r="P76" s="364">
        <f>IFERROR(IF($AE$2="추경",IF(VLOOKUP(R76,$B$42:$L$80,6,FALSE)&gt;=VLOOKUP(R76,$B$42:$L$80,11,FALSE),VLOOKUP(R76,$B$42:$L$80,6,FALSE),VLOOKUP(R76,예산평균!$B:$D,3,FALSE)),IF(VLOOKUP(R76,$B$42:$L$80,11,FALSE)&gt;0,IF(VLOOKUP(R76,$B$42:$L$80,6,FALSE)&gt;=VLOOKUP(R76,$B$42:$L$80,11,FALSE),VLOOKUP(R76,$B$42:$L$80,6,FALSE),ROUNDUP(VLOOKUP(R76,$B$42:$L$80,11,FALSE)/U76,-3)*U76),VLOOKUP(R76,예산평균!$B:$D,3,FALSE))),0)</f>
        <v>756000</v>
      </c>
      <c r="Q76" s="487">
        <v>0</v>
      </c>
      <c r="R76" s="422" t="s">
        <v>52</v>
      </c>
      <c r="S76" s="423" t="s">
        <v>80</v>
      </c>
      <c r="T76" s="358">
        <f t="shared" si="23"/>
        <v>756000</v>
      </c>
      <c r="U76" s="490">
        <f>IF(Q76=0,IF(ROUND($Y$8/3,0)=0,1,ROUND($Y$8/3,0)),Q76)</f>
        <v>4</v>
      </c>
      <c r="V76" s="360" t="s">
        <v>126</v>
      </c>
      <c r="X76" s="557" t="str">
        <f>IF(예산실적비교표!A66="X","",예산실적비교표!A66)</f>
        <v/>
      </c>
      <c r="Y76" s="758">
        <f>IF($AB$2="",0,IF(X76="",0,예산실적비교표!B66))</f>
        <v>0</v>
      </c>
      <c r="Z76" s="557" t="str">
        <f>IF(예산실적비교표!C66="X","",예산실적비교표!C66)</f>
        <v/>
      </c>
      <c r="AA76" s="758">
        <f>IF($AB$2="",0,IF(Z76="",0,예산실적비교표!D66))</f>
        <v>0</v>
      </c>
      <c r="AB76" s="557" t="str">
        <f>IF(예산실적비교표!E66="X","",예산실적비교표!E66)</f>
        <v/>
      </c>
      <c r="AC76" s="758">
        <f>IF($AB$2="",0,IF(AB76="",0,예산실적비교표!F66))</f>
        <v>0</v>
      </c>
      <c r="AD76" s="345" t="s">
        <v>815</v>
      </c>
      <c r="AE76" s="748">
        <f>ROUND(H27/AF77,-3)</f>
        <v>0</v>
      </c>
      <c r="AF76" s="418" t="s">
        <v>660</v>
      </c>
      <c r="AH76" s="1578" t="s">
        <v>767</v>
      </c>
      <c r="AI76" s="1579"/>
      <c r="AJ76" s="1580"/>
      <c r="AP76" s="1035" t="str">
        <f>IF(예산실적비교표!AL76&lt;&gt;"",예산실적비교표!AL76,"")</f>
        <v>김안선</v>
      </c>
      <c r="AQ76" s="1036" t="str">
        <f>IF(예산실적비교표!AM76&lt;&gt;"",예산실적비교표!AM76,"")</f>
        <v>요양보호사 1급</v>
      </c>
      <c r="AR76" s="1037">
        <v>2536485</v>
      </c>
      <c r="AS76" s="1038">
        <f>IF(예산실적비교표!AO76&lt;&gt;"",예산실적비교표!AO76,0)</f>
        <v>0</v>
      </c>
      <c r="AT76" s="971">
        <f t="shared" si="18"/>
        <v>2613000</v>
      </c>
      <c r="AU76" s="1039">
        <f>IF(예산실적비교표!AQ76&lt;&gt;"",예산실적비교표!AQ76,0)</f>
        <v>0</v>
      </c>
      <c r="AV76" s="973">
        <f t="shared" si="19"/>
        <v>217750</v>
      </c>
      <c r="AW76" s="974">
        <f>IF(AR76="",0,ROUND((AT76*$AT$7)*데이터입력!$AF$14+(AT76*$AU$7)*데이터입력!$AF$14+(AT76*$AU$7*$AV$7)*데이터입력!$AF$14+(AT76*$AW$7)*데이터입력!$AF$14+(AT76*$AX$7)*데이터입력!$AF$14,-1))</f>
        <v>366100</v>
      </c>
      <c r="AX76" s="975">
        <f t="shared" si="20"/>
        <v>3196850</v>
      </c>
      <c r="AY76" s="976">
        <f>IFERROR(IF($AE$2=TRUE,IF(AR76+AS76=0,0,AR76+AS76),ROUND(IF(데이터입력!$AF$14=100%,ROUND(AR76*$AR$1,-3),ROUND(AR76*$AR$1,-3)-ROUND(((AR76*$AR$1)*$AT$4)*(데이터입력!$AF$14-100%)+((AR76*$AR$1)*$AU$4)*(데이터입력!$AF$14-100%)+((AR76*$AR$1)*$AU$4*$AV$4)*(데이터입력!$AF$14-100%)+((AR76*$AR$1)*$AW$4)*(데이터입력!$AF$14-100%),-1)),0)),0)</f>
        <v>2536840</v>
      </c>
      <c r="AZ76" s="977">
        <f>IFERROR(IF(AR76+AS76=0,0,IF(데이터입력!$AF$12=100%,(AT76),(AT76)+ROUND(AT76*(데이터입력!$AF$12-100%),-1))),0)</f>
        <v>2613000</v>
      </c>
      <c r="BA76" s="1097">
        <f>IFERROR(IF(AZ76=0,"",IF(AND(예산실적비교표!AP76&gt;0,예산실적비교표!AW76=0),"",ROUND(AZ76/12,0))),"")</f>
        <v>217750</v>
      </c>
      <c r="BB76" s="1096">
        <f>IF(BA76="","",IF(데이터입력!$O$70="",ROUND(AZ76/12,0),ROUND(데이터입력!$O$70/데이터입력!$Y$8/$BC$63,0)))</f>
        <v>217750</v>
      </c>
    </row>
    <row r="77" spans="1:58" ht="17.25" thickBot="1">
      <c r="A77" s="901">
        <f>IF($AM$1=TRUE,IF(K77="","",SUBTOTAL(2,$K$3:K77)),IF(AND(M77="",N77=""),"",IF(N77="",COUNT($M$3:M77),COUNT($N$3:N77)+200)))</f>
        <v>30</v>
      </c>
      <c r="B77" s="303" t="s">
        <v>72</v>
      </c>
      <c r="C77" s="303" t="s">
        <v>562</v>
      </c>
      <c r="D77" s="302">
        <v>508010101</v>
      </c>
      <c r="E77" s="302" t="s">
        <v>83</v>
      </c>
      <c r="F77" s="302" t="s">
        <v>80</v>
      </c>
      <c r="G77" s="304">
        <f>IFERROR(IF($E77="06",VLOOKUP($B77,예산실적비교표!$O$7:$R$200,2,FALSE),0),0)</f>
        <v>0</v>
      </c>
      <c r="H77" s="304">
        <f>IFERROR(IF($E77="06",VLOOKUP($C77,세출예산서!$K$3:$X$307,12,FALSE),0),0)</f>
        <v>2000000</v>
      </c>
      <c r="I77" s="304">
        <f>IFERROR(IF($E77="07",VLOOKUP($C77,세출예산서!$K$3:$X$307,13,FALSE),0),0)</f>
        <v>0</v>
      </c>
      <c r="J77" s="304">
        <f>IFERROR(IF($E77="05",VLOOKUP($C77,세출예산서!$K$3:$X$307,14,FALSE),0),0)</f>
        <v>0</v>
      </c>
      <c r="K77" s="304">
        <f t="shared" si="11"/>
        <v>2000000</v>
      </c>
      <c r="L77" s="305">
        <f>IFERROR(IF($AB$2="",0,ROUNDUP(VLOOKUP($B77,예산실적비교표!$O$7:$R$200,3,FALSE)/($Y$8-(12-$Y$9)),-2)*$Y$8),0)</f>
        <v>0</v>
      </c>
      <c r="M77" s="597">
        <f>IF($AM$1=TRUE,IF(K77="","",IF(IF($AE$2="",IF(K77="","",SUBTOTAL(2,$K$3:K77)),IF(AND(G77&gt;=0,K77=""),"",IF(AND(G77&gt;0,OR(K77&gt;0,K77&lt;0)),SUBTOTAL(2,$K$3:K77),IF(AND(G77=0,OR(K77&gt;0,K77&lt;0)),SUBTOTAL(2,$K$3:K77)+200,""))))&gt;200,"",1)),IF(K77="","",IF(IF($AE$2="",IF(K77="","",SUBTOTAL(2,$K$3:K77)),IF(AND(G77&gt;=0,K77=""),"",IF(AND(G77&gt;0,OR(K77&gt;0,K77&lt;0)),SUBTOTAL(2,$K$3:K77),IF(AND(G77=0,OR(K77&gt;0,K77&lt;0)),SUBTOTAL(2,$K$3:K77)+200,""))))&gt;200,"",1)))</f>
        <v>1</v>
      </c>
      <c r="N77" s="161" t="str">
        <f>IF($AM$1=TRUE,IF(K77="","",IF(IF($AE$2="",IF(K77="","",SUBTOTAL(2,$K$3:K77)),IF(AND(G77&gt;=0,K77=""),"",IF(AND(G77&gt;0,OR(K77&gt;0,K77&lt;0)),SUBTOTAL(2,$K$3:K77),IF(AND(G77=0,OR(K77&gt;0,K77&lt;0)),SUBTOTAL(2,$K$3:K77)+200,""))))&lt;=200,"",2)),IF(K77="","",IF(IF($AE$2="",IF(K77="","",SUBTOTAL(2,$K$3:K77)),IF(AND(G77&gt;=0,K77=""),"",IF(AND(G77&gt;0,OR(K77&gt;0,K77&lt;0)),SUBTOTAL(2,$K$3:K77),IF(AND(G77=0,OR(K77&gt;0,K77&lt;0)),SUBTOTAL(2,$K$3:K77)+200,""))))&lt;=200,"",2)))</f>
        <v/>
      </c>
      <c r="O77" s="482"/>
      <c r="P77" s="364">
        <f>IFERROR(IF($AE$2="추경",IF(VLOOKUP(R77,$B$42:$L$80,6,FALSE)&gt;=VLOOKUP(R77,$B$42:$L$80,11,FALSE),VLOOKUP(R77,$B$42:$L$80,6,FALSE),VLOOKUP(R77,예산평균!$B:$D,3,FALSE)),IF(VLOOKUP(R77,$B$42:$L$80,11,FALSE)&gt;0,IF(VLOOKUP(R77,$B$42:$L$80,6,FALSE)&gt;=VLOOKUP(R77,$B$42:$L$80,11,FALSE),VLOOKUP(R77,$B$42:$L$80,6,FALSE),ROUNDUP(VLOOKUP(R77,$B$42:$L$80,11,FALSE)/U77,-3)*U77),VLOOKUP(R77,예산평균!$B:$D,3,FALSE))),0)</f>
        <v>1200000</v>
      </c>
      <c r="Q77" s="487">
        <v>0</v>
      </c>
      <c r="R77" s="422" t="s">
        <v>53</v>
      </c>
      <c r="S77" s="423" t="s">
        <v>80</v>
      </c>
      <c r="T77" s="358">
        <f t="shared" si="23"/>
        <v>1200000</v>
      </c>
      <c r="U77" s="490">
        <f>IF(Q77=0,$Y$8,Q77)</f>
        <v>12</v>
      </c>
      <c r="V77" s="360" t="s">
        <v>126</v>
      </c>
      <c r="X77" s="557" t="str">
        <f>IF(예산실적비교표!A67="X","",예산실적비교표!A67)</f>
        <v/>
      </c>
      <c r="Y77" s="758">
        <f>IF($AB$2="",0,IF(X77="",0,예산실적비교표!B67))</f>
        <v>0</v>
      </c>
      <c r="Z77" s="557" t="str">
        <f>IF(예산실적비교표!C67="X","",예산실적비교표!C67)</f>
        <v/>
      </c>
      <c r="AA77" s="758">
        <f>IF($AB$2="",0,IF(Z77="",0,예산실적비교표!D67))</f>
        <v>0</v>
      </c>
      <c r="AB77" s="557" t="str">
        <f>IF(예산실적비교표!E67="X","",예산실적비교표!E67)</f>
        <v/>
      </c>
      <c r="AC77" s="758">
        <f>IF($AB$2="",0,IF(AB77="",0,예산실적비교표!F67))</f>
        <v>0</v>
      </c>
      <c r="AD77" s="911" t="s">
        <v>815</v>
      </c>
      <c r="AE77" s="760">
        <f>AE76-AE78</f>
        <v>0</v>
      </c>
      <c r="AF77" s="537">
        <f>$Y$8</f>
        <v>12</v>
      </c>
      <c r="AH77" s="1138" t="str">
        <f>X79</f>
        <v>시군구보조금</v>
      </c>
      <c r="AI77" s="1576">
        <f>세입예산서!W64</f>
        <v>59280000</v>
      </c>
      <c r="AJ77" s="1577"/>
      <c r="AP77" s="1035" t="str">
        <f>IF(예산실적비교표!AL77&lt;&gt;"",예산실적비교표!AL77,"")</f>
        <v>박영희</v>
      </c>
      <c r="AQ77" s="1036" t="str">
        <f>IF(예산실적비교표!AM77&lt;&gt;"",예산실적비교표!AM77,"")</f>
        <v>요양보호사 1급</v>
      </c>
      <c r="AR77" s="1037">
        <v>2296341</v>
      </c>
      <c r="AS77" s="1038">
        <f>IF(예산실적비교표!AO77&lt;&gt;"",예산실적비교표!AO77,0)</f>
        <v>0</v>
      </c>
      <c r="AT77" s="971">
        <f t="shared" si="18"/>
        <v>2365000</v>
      </c>
      <c r="AU77" s="1039">
        <f>IF(예산실적비교표!AQ77&lt;&gt;"",예산실적비교표!AQ77,0)</f>
        <v>0</v>
      </c>
      <c r="AV77" s="973">
        <f t="shared" si="19"/>
        <v>197083</v>
      </c>
      <c r="AW77" s="974">
        <f>IF(AR77="",0,ROUND((AT77*$AT$7)*데이터입력!$AF$14+(AT77*$AU$7)*데이터입력!$AF$14+(AT77*$AU$7*$AV$7)*데이터입력!$AF$14+(AT77*$AW$7)*데이터입력!$AF$14+(AT77*$AX$7)*데이터입력!$AF$14,-1))</f>
        <v>331350</v>
      </c>
      <c r="AX77" s="975">
        <f t="shared" si="20"/>
        <v>2893433</v>
      </c>
      <c r="AY77" s="976">
        <f>IFERROR(IF($AE$2=TRUE,IF(AR77+AS77=0,0,AR77+AS77),ROUND(IF(데이터입력!$AF$14=100%,ROUND(AR77*$AR$1,-3),ROUND(AR77*$AR$1,-3)-ROUND(((AR77*$AR$1)*$AT$4)*(데이터입력!$AF$14-100%)+((AR77*$AR$1)*$AU$4)*(데이터입력!$AF$14-100%)+((AR77*$AR$1)*$AU$4*$AV$4)*(데이터입력!$AF$14-100%)+((AR77*$AR$1)*$AW$4)*(데이터입력!$AF$14-100%),-1)),0)),0)</f>
        <v>2296050</v>
      </c>
      <c r="AZ77" s="977">
        <f>IFERROR(IF(AR77+AS77=0,0,IF(데이터입력!$AF$12=100%,(AT77),(AT77)+ROUND(AT77*(데이터입력!$AF$12-100%),-1))),0)</f>
        <v>2365000</v>
      </c>
      <c r="BA77" s="1097">
        <f>IFERROR(IF(AZ77=0,"",IF(AND(예산실적비교표!AP77&gt;0,예산실적비교표!AW77=0),"",ROUND(AZ77/12,0))),"")</f>
        <v>197083</v>
      </c>
      <c r="BB77" s="1096">
        <f>IF(BA77="","",IF(데이터입력!$O$70="",ROUND(AZ77/12,0),ROUND(데이터입력!$O$70/데이터입력!$Y$8/$BC$63,0)))</f>
        <v>197083</v>
      </c>
    </row>
    <row r="78" spans="1:58" ht="17.25" thickBot="1">
      <c r="A78" s="901" t="str">
        <f>IF($AM$1=TRUE,IF(K78="","",SUBTOTAL(2,$K$3:K78)),IF(AND(M78="",N78=""),"",IF(N78="",COUNT($M$3:M78),COUNT($N$3:N78)+200)))</f>
        <v/>
      </c>
      <c r="B78" s="303" t="s">
        <v>73</v>
      </c>
      <c r="C78" s="303" t="s">
        <v>563</v>
      </c>
      <c r="D78" s="302">
        <v>508010201</v>
      </c>
      <c r="E78" s="302" t="s">
        <v>83</v>
      </c>
      <c r="F78" s="302" t="s">
        <v>80</v>
      </c>
      <c r="G78" s="304">
        <f>IFERROR(IF($E78="06",VLOOKUP($B78,예산실적비교표!$O$7:$R$200,2,FALSE),0),0)</f>
        <v>0</v>
      </c>
      <c r="H78" s="304">
        <f>IFERROR(IF($E78="06",VLOOKUP($C78,세출예산서!$K$3:$X$307,12,FALSE),0),0)</f>
        <v>0</v>
      </c>
      <c r="I78" s="304">
        <f>IFERROR(IF($E78="07",VLOOKUP($C78,세출예산서!$K$3:$X$307,13,FALSE),0),0)</f>
        <v>0</v>
      </c>
      <c r="J78" s="304">
        <f>IFERROR(IF($E78="05",VLOOKUP($C78,세출예산서!$K$3:$X$307,14,FALSE),0),0)</f>
        <v>0</v>
      </c>
      <c r="K78" s="304" t="str">
        <f t="shared" si="11"/>
        <v/>
      </c>
      <c r="L78" s="305">
        <f>IFERROR(IF($AB$2="",0,ROUNDUP(VLOOKUP($B78,예산실적비교표!$O$7:$R$200,3,FALSE)/($Y$8-(12-$Y$9)),-2)*$Y$8),0)</f>
        <v>0</v>
      </c>
      <c r="M78" s="597" t="str">
        <f>IF($AM$1=TRUE,IF(K78="","",IF(IF($AE$2="",IF(K78="","",SUBTOTAL(2,$K$3:K78)),IF(AND(G78&gt;=0,K78=""),"",IF(AND(G78&gt;0,OR(K78&gt;0,K78&lt;0)),SUBTOTAL(2,$K$3:K78),IF(AND(G78=0,OR(K78&gt;0,K78&lt;0)),SUBTOTAL(2,$K$3:K78)+200,""))))&gt;200,"",1)),IF(K78="","",IF(IF($AE$2="",IF(K78="","",SUBTOTAL(2,$K$3:K78)),IF(AND(G78&gt;=0,K78=""),"",IF(AND(G78&gt;0,OR(K78&gt;0,K78&lt;0)),SUBTOTAL(2,$K$3:K78),IF(AND(G78=0,OR(K78&gt;0,K78&lt;0)),SUBTOTAL(2,$K$3:K78)+200,""))))&gt;200,"",1)))</f>
        <v/>
      </c>
      <c r="N78" s="161" t="str">
        <f>IF($AM$1=TRUE,IF(K78="","",IF(IF($AE$2="",IF(K78="","",SUBTOTAL(2,$K$3:K78)),IF(AND(G78&gt;=0,K78=""),"",IF(AND(G78&gt;0,OR(K78&gt;0,K78&lt;0)),SUBTOTAL(2,$K$3:K78),IF(AND(G78=0,OR(K78&gt;0,K78&lt;0)),SUBTOTAL(2,$K$3:K78)+200,""))))&lt;=200,"",2)),IF(K78="","",IF(IF($AE$2="",IF(K78="","",SUBTOTAL(2,$K$3:K78)),IF(AND(G78&gt;=0,K78=""),"",IF(AND(G78&gt;0,OR(K78&gt;0,K78&lt;0)),SUBTOTAL(2,$K$3:K78),IF(AND(G78=0,OR(K78&gt;0,K78&lt;0)),SUBTOTAL(2,$K$3:K78)+200,""))))&lt;=200,"",2)))</f>
        <v/>
      </c>
      <c r="O78" s="482"/>
      <c r="P78" s="364">
        <f>IFERROR(IF($AE$2="추경",IF(VLOOKUP(R78,$B$42:$L$80,6,FALSE)&gt;=VLOOKUP(R78,$B$42:$L$80,11,FALSE),VLOOKUP(R78,$B$42:$L$80,6,FALSE),VLOOKUP(R78,예산평균!$B:$D,3,FALSE)),IF(VLOOKUP(R78,$B$42:$L$80,11,FALSE)&gt;0,IF(VLOOKUP(R78,$B$42:$L$80,6,FALSE)&gt;=VLOOKUP(R78,$B$42:$L$80,11,FALSE),VLOOKUP(R78,$B$42:$L$80,6,FALSE),ROUNDUP(VLOOKUP(R78,$B$42:$L$80,11,FALSE)/U78,-4)*U78),VLOOKUP(R78,예산평균!$B:$D,3,FALSE))),0)</f>
        <v>66000000</v>
      </c>
      <c r="Q78" s="487">
        <v>0</v>
      </c>
      <c r="R78" s="422" t="s">
        <v>54</v>
      </c>
      <c r="S78" s="423" t="s">
        <v>80</v>
      </c>
      <c r="T78" s="358">
        <f t="shared" si="23"/>
        <v>66000000</v>
      </c>
      <c r="U78" s="490">
        <f>IF(Q78=0,$Y$8,Q78)</f>
        <v>12</v>
      </c>
      <c r="V78" s="360" t="s">
        <v>126</v>
      </c>
      <c r="X78" s="1144"/>
      <c r="Y78" s="1145"/>
      <c r="Z78" s="1144"/>
      <c r="AA78" s="1145"/>
      <c r="AB78" s="1144"/>
      <c r="AC78" s="1145"/>
      <c r="AD78" s="556" t="str">
        <f>IF(예산실적비교표!G75="X","",예산실적비교표!G75)</f>
        <v/>
      </c>
      <c r="AE78" s="751">
        <f>IF($AB$2="",0,예산실적비교표!H75)</f>
        <v>0</v>
      </c>
      <c r="AF78" s="537">
        <f>IF($Y$8&lt;&gt;예산실적비교표!$B$3,$Y$8,예산실적비교표!I75)</f>
        <v>12</v>
      </c>
      <c r="AH78" s="294" t="str">
        <f>세입예산서!L65</f>
        <v xml:space="preserve">    - 시군구보조금</v>
      </c>
      <c r="AI78" s="1344">
        <f>세입예산서!W65</f>
        <v>57600000</v>
      </c>
      <c r="AJ78" s="1345"/>
      <c r="AP78" s="1035" t="str">
        <f>IF(예산실적비교표!AL78&lt;&gt;"",예산실적비교표!AL78,"")</f>
        <v>박인옥</v>
      </c>
      <c r="AQ78" s="1036" t="str">
        <f>IF(예산실적비교표!AM78&lt;&gt;"",예산실적비교표!AM78,"")</f>
        <v>요양보호사 1급</v>
      </c>
      <c r="AR78" s="1037">
        <v>2336341</v>
      </c>
      <c r="AS78" s="1038">
        <f>IF(예산실적비교표!AO78&lt;&gt;"",예산실적비교표!AO78,0)</f>
        <v>0</v>
      </c>
      <c r="AT78" s="971">
        <f t="shared" si="18"/>
        <v>2406000</v>
      </c>
      <c r="AU78" s="1039">
        <f>IF(예산실적비교표!AQ78&lt;&gt;"",예산실적비교표!AQ78,0)</f>
        <v>0</v>
      </c>
      <c r="AV78" s="973">
        <f t="shared" si="19"/>
        <v>200500</v>
      </c>
      <c r="AW78" s="974">
        <f>IF(AR78="",0,ROUND((AT78*$AT$7)*데이터입력!$AF$14+(AT78*$AU$7)*데이터입력!$AF$14+(AT78*$AU$7*$AV$7)*데이터입력!$AF$14+(AT78*$AW$7)*데이터입력!$AF$14+(AT78*$AX$7)*데이터입력!$AF$14,-1))</f>
        <v>337090</v>
      </c>
      <c r="AX78" s="975">
        <f t="shared" si="20"/>
        <v>2943590</v>
      </c>
      <c r="AY78" s="976">
        <f>IFERROR(IF($AE$2=TRUE,IF(AR78+AS78=0,0,AR78+AS78),ROUND(IF(데이터입력!$AF$14=100%,ROUND(AR78*$AR$1,-3),ROUND(AR78*$AR$1,-3)-ROUND(((AR78*$AR$1)*$AT$4)*(데이터입력!$AF$14-100%)+((AR78*$AR$1)*$AU$4)*(데이터입력!$AF$14-100%)+((AR78*$AR$1)*$AU$4*$AV$4)*(데이터입력!$AF$14-100%)+((AR78*$AR$1)*$AW$4)*(데이터입력!$AF$14-100%),-1)),0)),0)</f>
        <v>2335850</v>
      </c>
      <c r="AZ78" s="977">
        <f>IFERROR(IF(AR78+AS78=0,0,IF(데이터입력!$AF$12=100%,(AT78),(AT78)+ROUND(AT78*(데이터입력!$AF$12-100%),-1))),0)</f>
        <v>2406000</v>
      </c>
      <c r="BA78" s="1097">
        <f>IFERROR(IF(AZ78=0,"",IF(AND(예산실적비교표!AP78&gt;0,예산실적비교표!AW78=0),"",ROUND(AZ78/12,0))),"")</f>
        <v>200500</v>
      </c>
      <c r="BB78" s="1096">
        <f>IF(BA78="","",IF(데이터입력!$O$70="",ROUND(AZ78/12,0),ROUND(데이터입력!$O$70/데이터입력!$Y$8/$BC$63,0)))</f>
        <v>200500</v>
      </c>
    </row>
    <row r="79" spans="1:58" ht="17.25" thickBot="1">
      <c r="A79" s="901" t="str">
        <f>IF($AM$1=TRUE,IF(K79="","",SUBTOTAL(2,$K$3:K79)),IF(AND(M79="",N79=""),"",IF(N79="",COUNT($M$3:M79),COUNT($N$3:N79)+200)))</f>
        <v/>
      </c>
      <c r="B79" s="303" t="s">
        <v>3</v>
      </c>
      <c r="C79" s="303" t="s">
        <v>564</v>
      </c>
      <c r="D79" s="302">
        <v>509010101</v>
      </c>
      <c r="E79" s="302" t="s">
        <v>83</v>
      </c>
      <c r="F79" s="302" t="s">
        <v>80</v>
      </c>
      <c r="G79" s="304">
        <f>IFERROR(IF($E79="06",VLOOKUP($B79,예산실적비교표!$O$7:$R$200,2,FALSE),0),0)</f>
        <v>0</v>
      </c>
      <c r="H79" s="304">
        <f>IFERROR(IF($E79="06",VLOOKUP($C79,세출예산서!$K$3:$X$307,12,FALSE),0),0)</f>
        <v>0</v>
      </c>
      <c r="I79" s="304">
        <f>IFERROR(IF($E79="07",VLOOKUP($C79,세출예산서!$K$3:$X$307,13,FALSE),0),0)</f>
        <v>0</v>
      </c>
      <c r="J79" s="304">
        <f>IFERROR(IF($E79="05",VLOOKUP($C79,세출예산서!$K$3:$X$307,14,FALSE),0),0)</f>
        <v>0</v>
      </c>
      <c r="K79" s="304" t="str">
        <f t="shared" si="11"/>
        <v/>
      </c>
      <c r="L79" s="305">
        <f>IFERROR(IF($AB$2="",0,ROUNDUP(VLOOKUP($B79,예산실적비교표!$O$7:$R$200,3,FALSE)/($Y$8-(12-$Y$9)),-2)*$Y$8),0)</f>
        <v>0</v>
      </c>
      <c r="M79" s="597" t="str">
        <f>IF($AM$1=TRUE,IF(K79="","",IF(IF($AE$2="",IF(K79="","",SUBTOTAL(2,$K$3:K79)),IF(AND(G79&gt;=0,K79=""),"",IF(AND(G79&gt;0,OR(K79&gt;0,K79&lt;0)),SUBTOTAL(2,$K$3:K79),IF(AND(G79=0,OR(K79&gt;0,K79&lt;0)),SUBTOTAL(2,$K$3:K79)+200,""))))&gt;200,"",1)),IF(K79="","",IF(IF($AE$2="",IF(K79="","",SUBTOTAL(2,$K$3:K79)),IF(AND(G79&gt;=0,K79=""),"",IF(AND(G79&gt;0,OR(K79&gt;0,K79&lt;0)),SUBTOTAL(2,$K$3:K79),IF(AND(G79=0,OR(K79&gt;0,K79&lt;0)),SUBTOTAL(2,$K$3:K79)+200,""))))&gt;200,"",1)))</f>
        <v/>
      </c>
      <c r="N79" s="161" t="str">
        <f>IF($AM$1=TRUE,IF(K79="","",IF(IF($AE$2="",IF(K79="","",SUBTOTAL(2,$K$3:K79)),IF(AND(G79&gt;=0,K79=""),"",IF(AND(G79&gt;0,OR(K79&gt;0,K79&lt;0)),SUBTOTAL(2,$K$3:K79),IF(AND(G79=0,OR(K79&gt;0,K79&lt;0)),SUBTOTAL(2,$K$3:K79)+200,""))))&lt;=200,"",2)),IF(K79="","",IF(IF($AE$2="",IF(K79="","",SUBTOTAL(2,$K$3:K79)),IF(AND(G79&gt;=0,K79=""),"",IF(AND(G79&gt;0,OR(K79&gt;0,K79&lt;0)),SUBTOTAL(2,$K$3:K79),IF(AND(G79=0,OR(K79&gt;0,K79&lt;0)),SUBTOTAL(2,$K$3:K79)+200,""))))&lt;=200,"",2)))</f>
        <v/>
      </c>
      <c r="O79" s="482">
        <v>90000000</v>
      </c>
      <c r="P79" s="364">
        <f>IFERROR(IF($AE$2="추경",IF(VLOOKUP(R79,$B$42:$L$80,6,FALSE)&gt;=VLOOKUP(R79,$B$42:$L$80,11,FALSE),VLOOKUP(R79,$B$42:$L$80,6,FALSE),VLOOKUP(R79,예산평균!$B:$D,3,FALSE)),IF(VLOOKUP(R79,$B$42:$L$80,11,FALSE)&gt;0,IF(VLOOKUP(R79,$B$42:$L$80,6,FALSE)&gt;=VLOOKUP(R79,$B$42:$L$80,11,FALSE),VLOOKUP(R79,$B$42:$L$80,6,FALSE),ROUNDUP(VLOOKUP(R79,$B$42:$L$80,11,FALSE)/U79,-4)*U79),VLOOKUP(R79,예산평균!$B:$D,3,FALSE))),0)</f>
        <v>87000000</v>
      </c>
      <c r="Q79" s="487">
        <v>0</v>
      </c>
      <c r="R79" s="422" t="str">
        <f>IFERROR(IF(VLOOKUP("공공요금 및 제세공과금",예산실적비교표!$O$8:$R$432,2,FALSE)+VLOOKUP("공공요금 및 제세공과금",예산실적비교표!$O$8:$R$432,3,FALSE)&gt;=0,"공공요금 및 제세공과금","공공요금 및 각종 세금공과금"),"공공요금 및 각종 세금공과금")</f>
        <v>공공요금 및 각종 세금공과금</v>
      </c>
      <c r="S79" s="423" t="s">
        <v>80</v>
      </c>
      <c r="T79" s="358">
        <f t="shared" si="23"/>
        <v>90000000</v>
      </c>
      <c r="U79" s="490">
        <f>IF(Q79=0,$Y$8,Q79)</f>
        <v>12</v>
      </c>
      <c r="V79" s="424" t="s">
        <v>141</v>
      </c>
      <c r="X79" s="1140" t="s">
        <v>212</v>
      </c>
      <c r="Y79" s="1141">
        <f>SUM(Y80:Y85)</f>
        <v>0</v>
      </c>
      <c r="Z79" s="1142" t="s">
        <v>214</v>
      </c>
      <c r="AA79" s="1348" t="s">
        <v>123</v>
      </c>
      <c r="AB79" s="1349"/>
      <c r="AC79" s="1349"/>
      <c r="AD79" s="1509" t="s">
        <v>371</v>
      </c>
      <c r="AE79" s="1510"/>
      <c r="AF79" s="1511"/>
      <c r="AH79" s="279" t="str">
        <f>세입예산서!L66</f>
        <v xml:space="preserve">    - 월동대책비</v>
      </c>
      <c r="AI79" s="1346">
        <f>세입예산서!W66</f>
        <v>480000</v>
      </c>
      <c r="AJ79" s="1347"/>
      <c r="AP79" s="1035" t="str">
        <f>IF(예산실적비교표!AL79&lt;&gt;"",예산실적비교표!AL79,"")</f>
        <v>최지선</v>
      </c>
      <c r="AQ79" s="1036" t="str">
        <f>IF(예산실적비교표!AM79&lt;&gt;"",예산실적비교표!AM79,"")</f>
        <v>요양보호사 1급</v>
      </c>
      <c r="AR79" s="1037">
        <v>2352490</v>
      </c>
      <c r="AS79" s="1038">
        <f>IF(예산실적비교표!AO79&lt;&gt;"",예산실적비교표!AO79,0)</f>
        <v>0</v>
      </c>
      <c r="AT79" s="971">
        <f t="shared" si="18"/>
        <v>2423000</v>
      </c>
      <c r="AU79" s="1039">
        <f>IF(예산실적비교표!AQ79&lt;&gt;"",예산실적비교표!AQ79,0)</f>
        <v>0</v>
      </c>
      <c r="AV79" s="973">
        <f t="shared" si="19"/>
        <v>201917</v>
      </c>
      <c r="AW79" s="974">
        <f>IF(AR79="",0,ROUND((AT79*$AT$7)*데이터입력!$AF$14+(AT79*$AU$7)*데이터입력!$AF$14+(AT79*$AU$7*$AV$7)*데이터입력!$AF$14+(AT79*$AW$7)*데이터입력!$AF$14+(AT79*$AX$7)*데이터입력!$AF$14,-1))</f>
        <v>339480</v>
      </c>
      <c r="AX79" s="975">
        <f t="shared" si="20"/>
        <v>2964397</v>
      </c>
      <c r="AY79" s="976">
        <f>IFERROR(IF($AE$2=TRUE,IF(AR79+AS79=0,0,AR79+AS79),ROUND(IF(데이터입력!$AF$14=100%,ROUND(AR79*$AR$1,-3),ROUND(AR79*$AR$1,-3)-ROUND(((AR79*$AR$1)*$AT$4)*(데이터입력!$AF$14-100%)+((AR79*$AR$1)*$AU$4)*(데이터입력!$AF$14-100%)+((AR79*$AR$1)*$AU$4*$AV$4)*(데이터입력!$AF$14-100%)+((AR79*$AR$1)*$AW$4)*(데이터입력!$AF$14-100%),-1)),0)),0)</f>
        <v>2352360</v>
      </c>
      <c r="AZ79" s="977">
        <f>IFERROR(IF(AR79+AS79=0,0,IF(데이터입력!$AF$12=100%,(AT79),(AT79)+ROUND(AT79*(데이터입력!$AF$12-100%),-1))),0)</f>
        <v>2423000</v>
      </c>
      <c r="BA79" s="1097">
        <f>IFERROR(IF(AZ79=0,"",IF(AND(예산실적비교표!AP79&gt;0,예산실적비교표!AW79=0),"",ROUND(AZ79/12,0))),"")</f>
        <v>201917</v>
      </c>
      <c r="BB79" s="1096">
        <f>IF(BA79="","",IF(데이터입력!$O$70="",ROUND(AZ79/12,0),ROUND(데이터입력!$O$70/데이터입력!$Y$8/$BC$63,0)))</f>
        <v>201917</v>
      </c>
    </row>
    <row r="80" spans="1:58" ht="17.25" thickBot="1">
      <c r="A80" s="901" t="str">
        <f>IF($AM$1=TRUE,IF(K80="","",SUBTOTAL(2,$K$3:K80)),IF(AND(M80="",N80=""),"",IF(N80="",COUNT($M$3:M80),COUNT($N$3:N80)+200)))</f>
        <v/>
      </c>
      <c r="B80" s="303" t="s">
        <v>74</v>
      </c>
      <c r="C80" s="303" t="s">
        <v>565</v>
      </c>
      <c r="D80" s="302">
        <v>509010201</v>
      </c>
      <c r="E80" s="302" t="s">
        <v>83</v>
      </c>
      <c r="F80" s="302" t="s">
        <v>80</v>
      </c>
      <c r="G80" s="304">
        <f>IFERROR(IF($E80="06",VLOOKUP($B80,예산실적비교표!$O$7:$R$200,2,FALSE),0),0)</f>
        <v>0</v>
      </c>
      <c r="H80" s="304">
        <f>IFERROR(IF($E80="06",VLOOKUP($C80,세출예산서!$K$3:$X$307,12,FALSE),0),0)</f>
        <v>0</v>
      </c>
      <c r="I80" s="304">
        <f>IFERROR(IF($E80="07",VLOOKUP($C80,세출예산서!$K$3:$X$307,13,FALSE),0),0)</f>
        <v>0</v>
      </c>
      <c r="J80" s="304">
        <f>IFERROR(IF($E80="05",VLOOKUP($C80,세출예산서!$K$3:$X$307,14,FALSE),0),0)</f>
        <v>0</v>
      </c>
      <c r="K80" s="304" t="str">
        <f t="shared" si="11"/>
        <v/>
      </c>
      <c r="L80" s="305">
        <f>IFERROR(IF($AB$2="",0,ROUNDUP(VLOOKUP($B80,예산실적비교표!$O$7:$R$200,3,FALSE)/($Y$8-(12-$Y$9)),-2)*$Y$8),0)</f>
        <v>0</v>
      </c>
      <c r="M80" s="597" t="str">
        <f>IF($AM$1=TRUE,IF(K80="","",IF(IF($AE$2="",IF(K80="","",SUBTOTAL(2,$K$3:K80)),IF(AND(G80&gt;=0,K80=""),"",IF(AND(G80&gt;0,OR(K80&gt;0,K80&lt;0)),SUBTOTAL(2,$K$3:K80),IF(AND(G80=0,OR(K80&gt;0,K80&lt;0)),SUBTOTAL(2,$K$3:K80)+200,""))))&gt;200,"",1)),IF(K80="","",IF(IF($AE$2="",IF(K80="","",SUBTOTAL(2,$K$3:K80)),IF(AND(G80&gt;=0,K80=""),"",IF(AND(G80&gt;0,OR(K80&gt;0,K80&lt;0)),SUBTOTAL(2,$K$3:K80),IF(AND(G80=0,OR(K80&gt;0,K80&lt;0)),SUBTOTAL(2,$K$3:K80)+200,""))))&gt;200,"",1)))</f>
        <v/>
      </c>
      <c r="N80" s="161" t="str">
        <f>IF($AM$1=TRUE,IF(K80="","",IF(IF($AE$2="",IF(K80="","",SUBTOTAL(2,$K$3:K80)),IF(AND(G80&gt;=0,K80=""),"",IF(AND(G80&gt;0,OR(K80&gt;0,K80&lt;0)),SUBTOTAL(2,$K$3:K80),IF(AND(G80=0,OR(K80&gt;0,K80&lt;0)),SUBTOTAL(2,$K$3:K80)+200,""))))&lt;=200,"",2)),IF(K80="","",IF(IF($AE$2="",IF(K80="","",SUBTOTAL(2,$K$3:K80)),IF(AND(G80&gt;=0,K80=""),"",IF(AND(G80&gt;0,OR(K80&gt;0,K80&lt;0)),SUBTOTAL(2,$K$3:K80),IF(AND(G80=0,OR(K80&gt;0,K80&lt;0)),SUBTOTAL(2,$K$3:K80)+200,""))))&lt;=200,"",2)))</f>
        <v/>
      </c>
      <c r="O80" s="482"/>
      <c r="P80" s="364">
        <f>IFERROR(IF($AE$2="추경",IF(VLOOKUP(R80,$B$42:$L$80,6,FALSE)&gt;=VLOOKUP(R80,$B$42:$L$80,11,FALSE),VLOOKUP(R80,$B$42:$L$80,6,FALSE),VLOOKUP(R80,예산평균!$B:$D,3,FALSE)),IF(VLOOKUP(R80,$B$42:$L$80,11,FALSE)&gt;0,IF(VLOOKUP(R80,$B$42:$L$80,6,FALSE)&gt;=VLOOKUP(R80,$B$42:$L$80,11,FALSE),VLOOKUP(R80,$B$42:$L$80,6,FALSE),ROUNDUP(VLOOKUP(R80,$B$42:$L$80,11,FALSE)/U80,-4)*U80),VLOOKUP(R80,예산평균!$B:$D,3,FALSE))),0)</f>
        <v>7200000</v>
      </c>
      <c r="Q80" s="487">
        <v>0</v>
      </c>
      <c r="R80" s="422" t="s">
        <v>55</v>
      </c>
      <c r="S80" s="423" t="s">
        <v>80</v>
      </c>
      <c r="T80" s="358">
        <f t="shared" si="23"/>
        <v>7200000</v>
      </c>
      <c r="U80" s="490">
        <f t="shared" ref="U80:U94" si="24">IF(Q80=0,$Y$8,Q80)</f>
        <v>12</v>
      </c>
      <c r="V80" s="360" t="s">
        <v>126</v>
      </c>
      <c r="X80" s="914" t="s">
        <v>16</v>
      </c>
      <c r="Y80" s="1130"/>
      <c r="Z80" s="545"/>
      <c r="AA80" s="377" t="str">
        <f>R91</f>
        <v>대여용구취득비</v>
      </c>
      <c r="AB80" s="533">
        <f>IF(예산실적비교표!B70="",30%,예산실적비교표!B70)</f>
        <v>0.3</v>
      </c>
      <c r="AC80" s="1143">
        <f>IF(AB2=AH14,IF(O91="",ROUND(($H$14+$H$3+$H$16)*AB80/$Y$8,-4),ROUND(O91/$Y$8,0)),0)</f>
        <v>0</v>
      </c>
      <c r="AD80" s="345" t="s">
        <v>372</v>
      </c>
      <c r="AE80" s="748">
        <f>AE81+AE82</f>
        <v>0</v>
      </c>
      <c r="AF80" s="418" t="s">
        <v>214</v>
      </c>
      <c r="AH80" s="279" t="str">
        <f>세입예산서!L67</f>
        <v xml:space="preserve">    - 특별위로금</v>
      </c>
      <c r="AI80" s="1346">
        <f>세입예산서!W67</f>
        <v>1200000</v>
      </c>
      <c r="AJ80" s="1347"/>
      <c r="AP80" s="1035" t="str">
        <f>IF(예산실적비교표!AL80&lt;&gt;"",예산실적비교표!AL80,"")</f>
        <v>강명희</v>
      </c>
      <c r="AQ80" s="1036" t="str">
        <f>IF(예산실적비교표!AM80&lt;&gt;"",예산실적비교표!AM80,"")</f>
        <v>요양보호사 1급</v>
      </c>
      <c r="AR80" s="1037">
        <v>2610156</v>
      </c>
      <c r="AS80" s="1038">
        <f>IF(예산실적비교표!AO80&lt;&gt;"",예산실적비교표!AO80,0)</f>
        <v>0</v>
      </c>
      <c r="AT80" s="971">
        <f t="shared" si="18"/>
        <v>2688000</v>
      </c>
      <c r="AU80" s="1039">
        <f>IF(예산실적비교표!AQ80&lt;&gt;"",예산실적비교표!AQ80,0)</f>
        <v>0</v>
      </c>
      <c r="AV80" s="973">
        <f t="shared" si="19"/>
        <v>224000</v>
      </c>
      <c r="AW80" s="974">
        <f>IF(AR80="",0,ROUND((AT80*$AT$7)*데이터입력!$AF$14+(AT80*$AU$7)*데이터입력!$AF$14+(AT80*$AU$7*$AV$7)*데이터입력!$AF$14+(AT80*$AW$7)*데이터입력!$AF$14+(AT80*$AX$7)*데이터입력!$AF$14,-1))</f>
        <v>376600</v>
      </c>
      <c r="AX80" s="975">
        <f t="shared" si="20"/>
        <v>3288600</v>
      </c>
      <c r="AY80" s="976">
        <f>IFERROR(IF($AE$2=TRUE,IF(AR80+AS80=0,0,AR80+AS80),ROUND(IF(데이터입력!$AF$14=100%,ROUND(AR80*$AR$1,-3),ROUND(AR80*$AR$1,-3)-ROUND(((AR80*$AR$1)*$AT$4)*(데이터입력!$AF$14-100%)+((AR80*$AR$1)*$AU$4)*(데이터입력!$AF$14-100%)+((AR80*$AR$1)*$AU$4*$AV$4)*(데이터입력!$AF$14-100%)+((AR80*$AR$1)*$AW$4)*(데이터입력!$AF$14-100%),-1)),0)),0)</f>
        <v>2609630</v>
      </c>
      <c r="AZ80" s="977">
        <f>IFERROR(IF(AR80+AS80=0,0,IF(데이터입력!$AF$12=100%,(AT80),(AT80)+ROUND(AT80*(데이터입력!$AF$12-100%),-1))),0)</f>
        <v>2688000</v>
      </c>
      <c r="BA80" s="1097">
        <f>IFERROR(IF(AZ80=0,"",IF(AND(예산실적비교표!AP80&gt;0,예산실적비교표!AW80=0),"",ROUND(AZ80/12,0))),"")</f>
        <v>224000</v>
      </c>
      <c r="BB80" s="1096">
        <f>IF(BA80="","",IF(데이터입력!$O$70="",ROUND(AZ80/12,0),ROUND(데이터입력!$O$70/데이터입력!$Y$8/$BC$63,0)))</f>
        <v>224000</v>
      </c>
    </row>
    <row r="81" spans="1:54">
      <c r="A81" s="902" t="str">
        <f>IF($AM$1=TRUE,IF(K81="","",SUBTOTAL(2,$K$3:K81)),IF(AND(M81="",N81=""),"",IF(N81="",COUNT($M$3:M81),COUNT($N$3:N81)+200)))</f>
        <v/>
      </c>
      <c r="B81" s="349" t="s">
        <v>40</v>
      </c>
      <c r="C81" s="349" t="s">
        <v>566</v>
      </c>
      <c r="D81" s="348">
        <v>501010101</v>
      </c>
      <c r="E81" s="348" t="s">
        <v>84</v>
      </c>
      <c r="F81" s="348" t="s">
        <v>81</v>
      </c>
      <c r="G81" s="350">
        <f>IFERROR(IF($E81="07",VLOOKUP($B81,예산실적비교표!$X$7:$Z$200,2,FALSE),0),0)</f>
        <v>0</v>
      </c>
      <c r="H81" s="350">
        <f>IFERROR(IF($E81="06",VLOOKUP($C81,세출예산서!$K$3:$X$307,12,FALSE),0),0)</f>
        <v>0</v>
      </c>
      <c r="I81" s="350">
        <f>IFERROR(IF($E81="07",VLOOKUP($C81,세출예산서!$K$3:$X$307,13,FALSE),0),0)</f>
        <v>0</v>
      </c>
      <c r="J81" s="350">
        <f>IFERROR(IF($E81="05",VLOOKUP($C81,세출예산서!$K$3:$X$307,14,FALSE),0),0)</f>
        <v>0</v>
      </c>
      <c r="K81" s="350" t="str">
        <f t="shared" si="11"/>
        <v/>
      </c>
      <c r="L81" s="351">
        <f>IFERROR(IF($AB$2="",0,ROUNDUP(VLOOKUP($B81,예산실적비교표!$X$7:$Z$200,3,FALSE)*$Y$7/($Y$8-(12-$Y$10)),-2)*$Y$8),0)</f>
        <v>0</v>
      </c>
      <c r="M81" s="597" t="str">
        <f>IF($AM$1=TRUE,IF(K81="","",IF(IF($AE$2="",IF(K81="","",SUBTOTAL(2,$K$3:K81)),IF(AND(G81&gt;=0,K81=""),"",IF(AND(G81&gt;0,OR(K81&gt;0,K81&lt;0)),SUBTOTAL(2,$K$3:K81),IF(AND(G81=0,OR(K81&gt;0,K81&lt;0)),SUBTOTAL(2,$K$3:K81)+200,""))))&gt;200,"",1)),IF(K81="","",IF(IF($AE$2="",IF(K81="","",SUBTOTAL(2,$K$3:K81)),IF(AND(G81&gt;=0,K81=""),"",IF(AND(G81&gt;0,OR(K81&gt;0,K81&lt;0)),SUBTOTAL(2,$K$3:K81),IF(AND(G81=0,OR(K81&gt;0,K81&lt;0)),SUBTOTAL(2,$K$3:K81)+200,""))))&gt;200,"",1)))</f>
        <v/>
      </c>
      <c r="N81" s="161" t="str">
        <f>IF($AM$1=TRUE,IF(K81="","",IF(IF($AE$2="",IF(K81="","",SUBTOTAL(2,$K$3:K81)),IF(AND(G81&gt;=0,K81=""),"",IF(AND(G81&gt;0,OR(K81&gt;0,K81&lt;0)),SUBTOTAL(2,$K$3:K81),IF(AND(G81=0,OR(K81&gt;0,K81&lt;0)),SUBTOTAL(2,$K$3:K81)+200,""))))&lt;=200,"",2)),IF(K81="","",IF(IF($AE$2="",IF(K81="","",SUBTOTAL(2,$K$3:K81)),IF(AND(G81&gt;=0,K81=""),"",IF(AND(G81&gt;0,OR(K81&gt;0,K81&lt;0)),SUBTOTAL(2,$K$3:K81),IF(AND(G81=0,OR(K81&gt;0,K81&lt;0)),SUBTOTAL(2,$K$3:K81)+200,""))))&lt;=200,"",2)))</f>
        <v/>
      </c>
      <c r="O81" s="482"/>
      <c r="P81" s="364">
        <f>IFERROR(IF($AE$2="추경",IF(VLOOKUP(R81,$B$42:$L$80,6,FALSE)&gt;=VLOOKUP(R81,$B$42:$L$80,11,FALSE),VLOOKUP(R81,$B$42:$L$80,6,FALSE),VLOOKUP(R81,예산평균!$B:$D,3,FALSE)),IF(VLOOKUP(R81,$B$42:$L$80,11,FALSE)&gt;0,IF(VLOOKUP(R81,$B$42:$L$80,6,FALSE)&gt;=VLOOKUP(R81,$B$42:$L$80,11,FALSE),ROUND(VLOOKUP(R81,$B$42:$L$80,6,FALSE)*105%/U81,-4)*U81,ROUNDUP(VLOOKUP(R81,$B$42:$L$80,11,FALSE)*105%/U81,-4)*U81),VLOOKUP(R81,예산평균!$B:$D,3,FALSE))),0)</f>
        <v>0</v>
      </c>
      <c r="Q81" s="487">
        <v>0</v>
      </c>
      <c r="R81" s="422" t="s">
        <v>56</v>
      </c>
      <c r="S81" s="423" t="s">
        <v>80</v>
      </c>
      <c r="T81" s="358">
        <f t="shared" si="23"/>
        <v>0</v>
      </c>
      <c r="U81" s="490">
        <f t="shared" si="24"/>
        <v>12</v>
      </c>
      <c r="V81" s="360" t="s">
        <v>126</v>
      </c>
      <c r="X81" s="1129" t="s">
        <v>765</v>
      </c>
      <c r="Y81" s="1131"/>
      <c r="Z81" s="1132"/>
      <c r="AA81" s="558" t="str">
        <f>IF(예산실적비교표!A71="X","",예산실적비교표!A71)</f>
        <v>대여용구취득비</v>
      </c>
      <c r="AB81" s="1350">
        <f>AC80-AB82</f>
        <v>0</v>
      </c>
      <c r="AC81" s="1351"/>
      <c r="AD81" s="913" t="str">
        <f>IF(예산실적비교표!D71="X","",예산실적비교표!D71)</f>
        <v>지정후원금</v>
      </c>
      <c r="AE81" s="757">
        <f>ROUNDUP((AI85-AI87)/AF81,-3)</f>
        <v>0</v>
      </c>
      <c r="AF81" s="501">
        <f>U63</f>
        <v>12</v>
      </c>
      <c r="AH81" s="279" t="str">
        <f>세입예산서!L68</f>
        <v xml:space="preserve">    - </v>
      </c>
      <c r="AI81" s="1346">
        <f>세입예산서!W68</f>
        <v>0</v>
      </c>
      <c r="AJ81" s="1347"/>
      <c r="AP81" s="1035" t="str">
        <f>IF(예산실적비교표!AL81&lt;&gt;"",예산실적비교표!AL81,"")</f>
        <v>유종우</v>
      </c>
      <c r="AQ81" s="1036" t="str">
        <f>IF(예산실적비교표!AM81&lt;&gt;"",예산실적비교표!AM81,"")</f>
        <v>요양보호사 1급</v>
      </c>
      <c r="AR81" s="1037">
        <v>2336341</v>
      </c>
      <c r="AS81" s="1038">
        <f>IF(예산실적비교표!AO81&lt;&gt;"",예산실적비교표!AO81,0)</f>
        <v>0</v>
      </c>
      <c r="AT81" s="971">
        <f t="shared" si="18"/>
        <v>2406000</v>
      </c>
      <c r="AU81" s="1039">
        <f>IF(예산실적비교표!AQ81&lt;&gt;"",예산실적비교표!AQ81,0)</f>
        <v>0</v>
      </c>
      <c r="AV81" s="973">
        <f t="shared" si="19"/>
        <v>200500</v>
      </c>
      <c r="AW81" s="974">
        <f>IF(AR81="",0,ROUND((AT81*$AT$7)*데이터입력!$AF$14+(AT81*$AU$7)*데이터입력!$AF$14+(AT81*$AU$7*$AV$7)*데이터입력!$AF$14+(AT81*$AW$7)*데이터입력!$AF$14+(AT81*$AX$7)*데이터입력!$AF$14,-1))</f>
        <v>337090</v>
      </c>
      <c r="AX81" s="975">
        <f t="shared" si="20"/>
        <v>2943590</v>
      </c>
      <c r="AY81" s="976">
        <f>IFERROR(IF($AE$2=TRUE,IF(AR81+AS81=0,0,AR81+AS81),ROUND(IF(데이터입력!$AF$14=100%,ROUND(AR81*$AR$1,-3),ROUND(AR81*$AR$1,-3)-ROUND(((AR81*$AR$1)*$AT$4)*(데이터입력!$AF$14-100%)+((AR81*$AR$1)*$AU$4)*(데이터입력!$AF$14-100%)+((AR81*$AR$1)*$AU$4*$AV$4)*(데이터입력!$AF$14-100%)+((AR81*$AR$1)*$AW$4)*(데이터입력!$AF$14-100%),-1)),0)),0)</f>
        <v>2335850</v>
      </c>
      <c r="AZ81" s="977">
        <f>IFERROR(IF(AR81+AS81=0,0,IF(데이터입력!$AF$12=100%,(AT81),(AT81)+ROUND(AT81*(데이터입력!$AF$12-100%),-1))),0)</f>
        <v>2406000</v>
      </c>
      <c r="BA81" s="1097">
        <f>IFERROR(IF(AZ81=0,"",IF(AND(예산실적비교표!AP81&gt;0,예산실적비교표!AW81=0),"",ROUND(AZ81/12,0))),"")</f>
        <v>200500</v>
      </c>
      <c r="BB81" s="1096">
        <f>IF(BA81="","",IF(데이터입력!$O$70="",ROUND(AZ81/12,0),ROUND(데이터입력!$O$70/데이터입력!$Y$8/$BC$63,0)))</f>
        <v>200500</v>
      </c>
    </row>
    <row r="82" spans="1:54" ht="17.25" thickBot="1">
      <c r="A82" s="902" t="str">
        <f>IF($AM$1=TRUE,IF(K82="","",SUBTOTAL(2,$K$3:K82)),IF(AND(M82="",N82=""),"",IF(N82="",COUNT($M$3:M82),COUNT($N$3:N82)+200)))</f>
        <v/>
      </c>
      <c r="B82" s="349" t="s">
        <v>41</v>
      </c>
      <c r="C82" s="349" t="s">
        <v>567</v>
      </c>
      <c r="D82" s="348">
        <v>501010102</v>
      </c>
      <c r="E82" s="348" t="s">
        <v>84</v>
      </c>
      <c r="F82" s="348" t="s">
        <v>81</v>
      </c>
      <c r="G82" s="350">
        <f>IFERROR(IF($E82="07",VLOOKUP($B82,예산실적비교표!$X$7:$Z$200,2,FALSE),0),0)</f>
        <v>0</v>
      </c>
      <c r="H82" s="350">
        <f>IFERROR(IF($E82="06",VLOOKUP($C82,세출예산서!$K$3:$X$307,12,FALSE),0),0)</f>
        <v>0</v>
      </c>
      <c r="I82" s="350">
        <f>IFERROR(IF($E82="07",VLOOKUP($C82,세출예산서!$K$3:$X$307,13,FALSE),0),0)</f>
        <v>0</v>
      </c>
      <c r="J82" s="350">
        <f>IFERROR(IF($E82="05",VLOOKUP($C82,세출예산서!$K$3:$X$307,14,FALSE),0),0)</f>
        <v>0</v>
      </c>
      <c r="K82" s="350" t="str">
        <f t="shared" si="11"/>
        <v/>
      </c>
      <c r="L82" s="351">
        <f>IFERROR(IF($AB$2="",0,ROUNDUP(VLOOKUP($B82,예산실적비교표!$X$7:$Z$200,3,FALSE)*$Y$7/($Y$8-(12-$Y$10)),-2)*$Y$8),0)</f>
        <v>0</v>
      </c>
      <c r="M82" s="597" t="str">
        <f>IF($AM$1=TRUE,IF(K82="","",IF(IF($AE$2="",IF(K82="","",SUBTOTAL(2,$K$3:K82)),IF(AND(G82&gt;=0,K82=""),"",IF(AND(G82&gt;0,OR(K82&gt;0,K82&lt;0)),SUBTOTAL(2,$K$3:K82),IF(AND(G82=0,OR(K82&gt;0,K82&lt;0)),SUBTOTAL(2,$K$3:K82)+200,""))))&gt;200,"",1)),IF(K82="","",IF(IF($AE$2="",IF(K82="","",SUBTOTAL(2,$K$3:K82)),IF(AND(G82&gt;=0,K82=""),"",IF(AND(G82&gt;0,OR(K82&gt;0,K82&lt;0)),SUBTOTAL(2,$K$3:K82),IF(AND(G82=0,OR(K82&gt;0,K82&lt;0)),SUBTOTAL(2,$K$3:K82)+200,""))))&gt;200,"",1)))</f>
        <v/>
      </c>
      <c r="N82" s="161" t="str">
        <f>IF($AM$1=TRUE,IF(K82="","",IF(IF($AE$2="",IF(K82="","",SUBTOTAL(2,$K$3:K82)),IF(AND(G82&gt;=0,K82=""),"",IF(AND(G82&gt;0,OR(K82&gt;0,K82&lt;0)),SUBTOTAL(2,$K$3:K82),IF(AND(G82=0,OR(K82&gt;0,K82&lt;0)),SUBTOTAL(2,$K$3:K82)+200,""))))&lt;=200,"",2)),IF(K82="","",IF(IF($AE$2="",IF(K82="","",SUBTOTAL(2,$K$3:K82)),IF(AND(G82&gt;=0,K82=""),"",IF(AND(G82&gt;0,OR(K82&gt;0,K82&lt;0)),SUBTOTAL(2,$K$3:K82),IF(AND(G82=0,OR(K82&gt;0,K82&lt;0)),SUBTOTAL(2,$K$3:K82)+200,""))))&lt;=200,"",2)))</f>
        <v/>
      </c>
      <c r="O82" s="482"/>
      <c r="P82" s="364">
        <f>IFERROR(IF($AE$2="추경",IF(VLOOKUP(R82,$B$42:$L$80,6,FALSE)&gt;=VLOOKUP(R82,$B$42:$L$80,11,FALSE),VLOOKUP(R82,$B$42:$L$80,6,FALSE),VLOOKUP(R82,예산평균!$B:$D,3,FALSE)),IF(VLOOKUP(R82,$B$42:$L$80,11,FALSE)&gt;0,IF(VLOOKUP(R82,$B$42:$L$80,6,FALSE)&gt;=VLOOKUP(R82,$B$42:$L$80,11,FALSE),VLOOKUP(R82,$B$42:$L$80,6,FALSE),ROUNDUP(VLOOKUP(R82,$B$42:$L$80,11,FALSE)/U82,-4)*U82),VLOOKUP(R82,예산평균!$B:$D,3,FALSE))),0)</f>
        <v>24378000</v>
      </c>
      <c r="Q82" s="487">
        <v>0</v>
      </c>
      <c r="R82" s="422" t="s">
        <v>57</v>
      </c>
      <c r="S82" s="423" t="s">
        <v>80</v>
      </c>
      <c r="T82" s="358">
        <f t="shared" si="23"/>
        <v>24378000</v>
      </c>
      <c r="U82" s="490">
        <f t="shared" si="24"/>
        <v>12</v>
      </c>
      <c r="V82" s="424" t="s">
        <v>141</v>
      </c>
      <c r="X82" s="1129" t="s">
        <v>766</v>
      </c>
      <c r="Y82" s="1131"/>
      <c r="Z82" s="1132"/>
      <c r="AA82" s="558" t="str">
        <f>IF(예산실적비교표!A72="X","",예산실적비교표!A72)</f>
        <v/>
      </c>
      <c r="AB82" s="1352">
        <f>IF($AB$2="",0,IF(AA82="",0,예산실적비교표!B72))</f>
        <v>0</v>
      </c>
      <c r="AC82" s="1353"/>
      <c r="AD82" s="785" t="str">
        <f>IF(예산실적비교표!D72="X","",예산실적비교표!D72)</f>
        <v/>
      </c>
      <c r="AE82" s="759">
        <f>IF($AB$2="",0,IF(AD82="",0,예산실적비교표!E72))</f>
        <v>0</v>
      </c>
      <c r="AF82" s="501">
        <f>AF81</f>
        <v>12</v>
      </c>
      <c r="AH82" s="279" t="str">
        <f>세입예산서!L69</f>
        <v xml:space="preserve">    - </v>
      </c>
      <c r="AI82" s="1346">
        <f>세입예산서!W69</f>
        <v>0</v>
      </c>
      <c r="AJ82" s="1347"/>
      <c r="AP82" s="1035" t="str">
        <f>IF(예산실적비교표!AL82&lt;&gt;"",예산실적비교표!AL82,"")</f>
        <v>최민숙</v>
      </c>
      <c r="AQ82" s="1036" t="str">
        <f>IF(예산실적비교표!AM82&lt;&gt;"",예산실적비교표!AM82,"")</f>
        <v>요양보호사 1급</v>
      </c>
      <c r="AR82" s="1037">
        <v>2620156</v>
      </c>
      <c r="AS82" s="1038">
        <f>IF(예산실적비교표!AO82&lt;&gt;"",예산실적비교표!AO82,0)</f>
        <v>0</v>
      </c>
      <c r="AT82" s="971">
        <f t="shared" si="18"/>
        <v>2699000</v>
      </c>
      <c r="AU82" s="1039">
        <f>IF(예산실적비교표!AQ82&lt;&gt;"",예산실적비교표!AQ82,0)</f>
        <v>0</v>
      </c>
      <c r="AV82" s="973">
        <f t="shared" si="19"/>
        <v>224917</v>
      </c>
      <c r="AW82" s="974">
        <f>IF(AR82="",0,ROUND((AT82*$AT$7)*데이터입력!$AF$14+(AT82*$AU$7)*데이터입력!$AF$14+(AT82*$AU$7*$AV$7)*데이터입력!$AF$14+(AT82*$AW$7)*데이터입력!$AF$14+(AT82*$AX$7)*데이터입력!$AF$14,-1))</f>
        <v>378150</v>
      </c>
      <c r="AX82" s="975">
        <f t="shared" si="20"/>
        <v>3302067</v>
      </c>
      <c r="AY82" s="976">
        <f>IFERROR(IF($AE$2=TRUE,IF(AR82+AS82=0,0,AR82+AS82),ROUND(IF(데이터입력!$AF$14=100%,ROUND(AR82*$AR$1,-3),ROUND(AR82*$AR$1,-3)-ROUND(((AR82*$AR$1)*$AT$4)*(데이터입력!$AF$14-100%)+((AR82*$AR$1)*$AU$4)*(데이터입력!$AF$14-100%)+((AR82*$AR$1)*$AU$4*$AV$4)*(데이터입력!$AF$14-100%)+((AR82*$AR$1)*$AW$4)*(데이터입력!$AF$14-100%),-1)),0)),0)</f>
        <v>2620330</v>
      </c>
      <c r="AZ82" s="977">
        <f>IFERROR(IF(AR82+AS82=0,0,IF(데이터입력!$AF$12=100%,(AT82),(AT82)+ROUND(AT82*(데이터입력!$AF$12-100%),-1))),0)</f>
        <v>2699000</v>
      </c>
      <c r="BA82" s="1097">
        <f>IFERROR(IF(AZ82=0,"",IF(AND(예산실적비교표!AP82&gt;0,예산실적비교표!AW82=0),"",ROUND(AZ82/12,0))),"")</f>
        <v>224917</v>
      </c>
      <c r="BB82" s="1096">
        <f>IF(BA82="","",IF(데이터입력!$O$70="",ROUND(AZ82/12,0),ROUND(데이터입력!$O$70/데이터입력!$Y$8/$BC$63,0)))</f>
        <v>224917</v>
      </c>
    </row>
    <row r="83" spans="1:54" ht="17.25" thickBot="1">
      <c r="A83" s="902" t="str">
        <f>IF($AM$1=TRUE,IF(K83="","",SUBTOTAL(2,$K$3:K83)),IF(AND(M83="",N83=""),"",IF(N83="",COUNT($M$3:M83),COUNT($N$3:N83)+200)))</f>
        <v/>
      </c>
      <c r="B83" s="349" t="s">
        <v>42</v>
      </c>
      <c r="C83" s="349" t="s">
        <v>568</v>
      </c>
      <c r="D83" s="348">
        <v>501010201</v>
      </c>
      <c r="E83" s="348" t="s">
        <v>84</v>
      </c>
      <c r="F83" s="348" t="s">
        <v>81</v>
      </c>
      <c r="G83" s="350">
        <f>IFERROR(IF($E83="07",VLOOKUP($B83,예산실적비교표!$X$7:$Z$200,2,FALSE),0),0)</f>
        <v>0</v>
      </c>
      <c r="H83" s="350">
        <f>IFERROR(IF($E83="06",VLOOKUP($C83,세출예산서!$K$3:$X$307,12,FALSE),0),0)</f>
        <v>0</v>
      </c>
      <c r="I83" s="350">
        <f>IFERROR(IF($E83="07",VLOOKUP($C83,세출예산서!$K$3:$X$307,13,FALSE),0),0)</f>
        <v>0</v>
      </c>
      <c r="J83" s="350">
        <f>IFERROR(IF($E83="05",VLOOKUP($C83,세출예산서!$K$3:$X$307,14,FALSE),0),0)</f>
        <v>0</v>
      </c>
      <c r="K83" s="350" t="str">
        <f t="shared" si="11"/>
        <v/>
      </c>
      <c r="L83" s="351">
        <f>IFERROR(IF($AB$2="",0,ROUNDUP(VLOOKUP($B83,예산실적비교표!$X$7:$Z$200,3,FALSE)*$Y$7/($Y$8-(12-$Y$10)),-2)*$Y$8),0)</f>
        <v>0</v>
      </c>
      <c r="M83" s="597" t="str">
        <f>IF($AM$1=TRUE,IF(K83="","",IF(IF($AE$2="",IF(K83="","",SUBTOTAL(2,$K$3:K83)),IF(AND(G83&gt;=0,K83=""),"",IF(AND(G83&gt;0,OR(K83&gt;0,K83&lt;0)),SUBTOTAL(2,$K$3:K83),IF(AND(G83=0,OR(K83&gt;0,K83&lt;0)),SUBTOTAL(2,$K$3:K83)+200,""))))&gt;200,"",1)),IF(K83="","",IF(IF($AE$2="",IF(K83="","",SUBTOTAL(2,$K$3:K83)),IF(AND(G83&gt;=0,K83=""),"",IF(AND(G83&gt;0,OR(K83&gt;0,K83&lt;0)),SUBTOTAL(2,$K$3:K83),IF(AND(G83=0,OR(K83&gt;0,K83&lt;0)),SUBTOTAL(2,$K$3:K83)+200,""))))&gt;200,"",1)))</f>
        <v/>
      </c>
      <c r="N83" s="161" t="str">
        <f>IF($AM$1=TRUE,IF(K83="","",IF(IF($AE$2="",IF(K83="","",SUBTOTAL(2,$K$3:K83)),IF(AND(G83&gt;=0,K83=""),"",IF(AND(G83&gt;0,OR(K83&gt;0,K83&lt;0)),SUBTOTAL(2,$K$3:K83),IF(AND(G83=0,OR(K83&gt;0,K83&lt;0)),SUBTOTAL(2,$K$3:K83)+200,""))))&lt;=200,"",2)),IF(K83="","",IF(IF($AE$2="",IF(K83="","",SUBTOTAL(2,$K$3:K83)),IF(AND(G83&gt;=0,K83=""),"",IF(AND(G83&gt;0,OR(K83&gt;0,K83&lt;0)),SUBTOTAL(2,$K$3:K83),IF(AND(G83=0,OR(K83&gt;0,K83&lt;0)),SUBTOTAL(2,$K$3:K83)+200,""))))&lt;=200,"",2)))</f>
        <v/>
      </c>
      <c r="O83" s="482"/>
      <c r="P83" s="364">
        <f>IFERROR(IF($AE$2="추경",IF(VLOOKUP(R83,$B$42:$L$80,6,FALSE)&gt;=VLOOKUP(R83,$B$42:$L$80,11,FALSE),VLOOKUP(R83,$B$42:$L$80,6,FALSE),VLOOKUP(R83,예산평균!$B:$D,3,FALSE)),IF(VLOOKUP(R83,$B$42:$L$80,11,FALSE)&gt;0,IF(VLOOKUP(R83,$B$42:$L$80,6,FALSE)&gt;=VLOOKUP(R83,$B$42:$L$80,11,FALSE),VLOOKUP(R83,$B$42:$L$80,6,FALSE),ROUNDUP(VLOOKUP(R83,$B$42:$L$80,11,FALSE)/U83,-4)*U83),VLOOKUP(R83,예산평균!$B:$D,3,FALSE))),0)</f>
        <v>30000000</v>
      </c>
      <c r="Q83" s="487">
        <v>0</v>
      </c>
      <c r="R83" s="422" t="s">
        <v>58</v>
      </c>
      <c r="S83" s="423" t="s">
        <v>80</v>
      </c>
      <c r="T83" s="358">
        <f t="shared" si="23"/>
        <v>30000000</v>
      </c>
      <c r="U83" s="490">
        <f t="shared" si="24"/>
        <v>12</v>
      </c>
      <c r="V83" s="360" t="s">
        <v>126</v>
      </c>
      <c r="X83" s="557" t="str">
        <f>IF(예산실적비교표!G66="X","",예산실적비교표!G66)</f>
        <v/>
      </c>
      <c r="Y83" s="758">
        <f>IF($AB$2="",0,IF(X83="",0,예산실적비교표!B73))</f>
        <v>0</v>
      </c>
      <c r="Z83" s="1133">
        <v>1</v>
      </c>
      <c r="AA83" s="377" t="str">
        <f>R92</f>
        <v>판매용구취득비</v>
      </c>
      <c r="AB83" s="533">
        <f>IF(예산실적비교표!B73="",40%,예산실적비교표!B73)</f>
        <v>0.4</v>
      </c>
      <c r="AC83" s="1143">
        <f>IF(AB2=AH14,IF(O92="",ROUND(($H$14+$H$3+$H$16)*AB83/$Y$8,-4),ROUND(O92/$Y$8,0)),0)</f>
        <v>0</v>
      </c>
      <c r="AD83" s="345" t="s">
        <v>373</v>
      </c>
      <c r="AE83" s="748">
        <f>AE84+AE85</f>
        <v>0</v>
      </c>
      <c r="AF83" s="418" t="s">
        <v>214</v>
      </c>
      <c r="AH83" s="295" t="str">
        <f>세입예산서!L70</f>
        <v xml:space="preserve">    - </v>
      </c>
      <c r="AI83" s="1359">
        <f>세입예산서!W70</f>
        <v>0</v>
      </c>
      <c r="AJ83" s="1360"/>
      <c r="AP83" s="1035" t="str">
        <f>IF(예산실적비교표!AL83&lt;&gt;"",예산실적비교표!AL83,"")</f>
        <v>이미화</v>
      </c>
      <c r="AQ83" s="1036" t="str">
        <f>IF(예산실적비교표!AM83&lt;&gt;"",예산실적비교표!AM83,"")</f>
        <v>요양보호사 1급</v>
      </c>
      <c r="AR83" s="1037">
        <v>2377086</v>
      </c>
      <c r="AS83" s="1038">
        <f>IF(예산실적비교표!AO83&lt;&gt;"",예산실적비교표!AO83,0)</f>
        <v>0</v>
      </c>
      <c r="AT83" s="971">
        <f t="shared" si="18"/>
        <v>2448000</v>
      </c>
      <c r="AU83" s="1039">
        <f>IF(예산실적비교표!AQ83&lt;&gt;"",예산실적비교표!AQ83,0)</f>
        <v>0</v>
      </c>
      <c r="AV83" s="973">
        <f t="shared" si="19"/>
        <v>204000</v>
      </c>
      <c r="AW83" s="974">
        <f>IF(AR83="",0,ROUND((AT83*$AT$7)*데이터입력!$AF$14+(AT83*$AU$7)*데이터입력!$AF$14+(AT83*$AU$7*$AV$7)*데이터입력!$AF$14+(AT83*$AW$7)*데이터입력!$AF$14+(AT83*$AX$7)*데이터입력!$AF$14,-1))</f>
        <v>342980</v>
      </c>
      <c r="AX83" s="975">
        <f t="shared" si="20"/>
        <v>2994980</v>
      </c>
      <c r="AY83" s="976">
        <f>IFERROR(IF($AE$2=TRUE,IF(AR83+AS83=0,0,AR83+AS83),ROUND(IF(데이터입력!$AF$14=100%,ROUND(AR83*$AR$1,-3),ROUND(AR83*$AR$1,-3)-ROUND(((AR83*$AR$1)*$AT$4)*(데이터입력!$AF$14-100%)+((AR83*$AR$1)*$AU$4)*(데이터입력!$AF$14-100%)+((AR83*$AR$1)*$AU$4*$AV$4)*(데이터입력!$AF$14-100%)+((AR83*$AR$1)*$AW$4)*(데이터입력!$AF$14-100%),-1)),0)),0)</f>
        <v>2376620</v>
      </c>
      <c r="AZ83" s="977">
        <f>IFERROR(IF(AR83+AS83=0,0,IF(데이터입력!$AF$12=100%,(AT83),(AT83)+ROUND(AT83*(데이터입력!$AF$12-100%),-1))),0)</f>
        <v>2448000</v>
      </c>
      <c r="BA83" s="1097">
        <f>IFERROR(IF(AZ83=0,"",IF(AND(예산실적비교표!AP83&gt;0,예산실적비교표!AW83=0),"",ROUND(AZ83/12,0))),"")</f>
        <v>204000</v>
      </c>
      <c r="BB83" s="1096">
        <f>IF(BA83="","",IF(데이터입력!$O$70="",ROUND(AZ83/12,0),ROUND(데이터입력!$O$70/데이터입력!$Y$8/$BC$63,0)))</f>
        <v>204000</v>
      </c>
    </row>
    <row r="84" spans="1:54" ht="17.25" thickBot="1">
      <c r="A84" s="902" t="str">
        <f>IF($AM$1=TRUE,IF(K84="","",SUBTOTAL(2,$K$3:K84)),IF(AND(M84="",N84=""),"",IF(N84="",COUNT($M$3:M84),COUNT($N$3:N84)+200)))</f>
        <v/>
      </c>
      <c r="B84" s="349" t="s">
        <v>43</v>
      </c>
      <c r="C84" s="349" t="s">
        <v>569</v>
      </c>
      <c r="D84" s="348">
        <v>501010202</v>
      </c>
      <c r="E84" s="348" t="s">
        <v>84</v>
      </c>
      <c r="F84" s="348" t="s">
        <v>81</v>
      </c>
      <c r="G84" s="350">
        <f>IFERROR(IF($E84="07",VLOOKUP($B84,예산실적비교표!$X$7:$Z$200,2,FALSE),0),0)</f>
        <v>0</v>
      </c>
      <c r="H84" s="350">
        <f>IFERROR(IF($E84="06",VLOOKUP($C84,세출예산서!$K$3:$X$307,12,FALSE),0),0)</f>
        <v>0</v>
      </c>
      <c r="I84" s="350">
        <f>IFERROR(IF($E84="07",VLOOKUP($C84,세출예산서!$K$3:$X$307,13,FALSE),0),0)</f>
        <v>0</v>
      </c>
      <c r="J84" s="350">
        <f>IFERROR(IF($E84="05",VLOOKUP($C84,세출예산서!$K$3:$X$307,14,FALSE),0),0)</f>
        <v>0</v>
      </c>
      <c r="K84" s="350" t="str">
        <f t="shared" si="11"/>
        <v/>
      </c>
      <c r="L84" s="351">
        <f>IFERROR(IF($AB$2="",0,ROUNDUP(VLOOKUP($B84,예산실적비교표!$X$7:$Z$200,3,FALSE)*$Y$7/($Y$8-(12-$Y$10)),-2)*$Y$8),0)</f>
        <v>0</v>
      </c>
      <c r="M84" s="597" t="str">
        <f>IF($AM$1=TRUE,IF(K84="","",IF(IF($AE$2="",IF(K84="","",SUBTOTAL(2,$K$3:K84)),IF(AND(G84&gt;=0,K84=""),"",IF(AND(G84&gt;0,OR(K84&gt;0,K84&lt;0)),SUBTOTAL(2,$K$3:K84),IF(AND(G84=0,OR(K84&gt;0,K84&lt;0)),SUBTOTAL(2,$K$3:K84)+200,""))))&gt;200,"",1)),IF(K84="","",IF(IF($AE$2="",IF(K84="","",SUBTOTAL(2,$K$3:K84)),IF(AND(G84&gt;=0,K84=""),"",IF(AND(G84&gt;0,OR(K84&gt;0,K84&lt;0)),SUBTOTAL(2,$K$3:K84),IF(AND(G84=0,OR(K84&gt;0,K84&lt;0)),SUBTOTAL(2,$K$3:K84)+200,""))))&gt;200,"",1)))</f>
        <v/>
      </c>
      <c r="N84" s="161" t="str">
        <f>IF($AM$1=TRUE,IF(K84="","",IF(IF($AE$2="",IF(K84="","",SUBTOTAL(2,$K$3:K84)),IF(AND(G84&gt;=0,K84=""),"",IF(AND(G84&gt;0,OR(K84&gt;0,K84&lt;0)),SUBTOTAL(2,$K$3:K84),IF(AND(G84=0,OR(K84&gt;0,K84&lt;0)),SUBTOTAL(2,$K$3:K84)+200,""))))&lt;=200,"",2)),IF(K84="","",IF(IF($AE$2="",IF(K84="","",SUBTOTAL(2,$K$3:K84)),IF(AND(G84&gt;=0,K84=""),"",IF(AND(G84&gt;0,OR(K84&gt;0,K84&lt;0)),SUBTOTAL(2,$K$3:K84),IF(AND(G84=0,OR(K84&gt;0,K84&lt;0)),SUBTOTAL(2,$K$3:K84)+200,""))))&lt;=200,"",2)))</f>
        <v/>
      </c>
      <c r="O84" s="482"/>
      <c r="P84" s="364">
        <f>IFERROR(IF($AE$2="추경",IF(VLOOKUP(R84,$B$42:$L$80,6,FALSE)&gt;=VLOOKUP(R84,$B$42:$L$80,11,FALSE),VLOOKUP(R84,$B$42:$L$80,6,FALSE),VLOOKUP(R84,예산평균!$B:$D,3,FALSE)),IF(VLOOKUP(R84,$B$42:$L$80,11,FALSE)&gt;0,IF(VLOOKUP(R84,$B$42:$L$80,6,FALSE)&gt;=VLOOKUP(R84,$B$42:$L$80,11,FALSE),VLOOKUP(R84,$B$42:$L$80,6,FALSE),ROUNDUP(VLOOKUP(R84,$B$42:$L$80,11,FALSE)/U84,-4)*U84),VLOOKUP(R84,예산평균!$B:$D,3,FALSE))),0)</f>
        <v>16200000</v>
      </c>
      <c r="Q84" s="487">
        <v>0</v>
      </c>
      <c r="R84" s="422" t="s">
        <v>59</v>
      </c>
      <c r="S84" s="423" t="s">
        <v>80</v>
      </c>
      <c r="T84" s="358">
        <f t="shared" si="23"/>
        <v>16200000</v>
      </c>
      <c r="U84" s="490">
        <f t="shared" si="24"/>
        <v>12</v>
      </c>
      <c r="V84" s="424" t="s">
        <v>141</v>
      </c>
      <c r="X84" s="557" t="str">
        <f>IF(예산실적비교표!G67="X","",예산실적비교표!G67)</f>
        <v/>
      </c>
      <c r="Y84" s="758">
        <f>IF($AB$2="",0,IF(X84="",0,예산실적비교표!B74))</f>
        <v>0</v>
      </c>
      <c r="Z84" s="1133">
        <v>1</v>
      </c>
      <c r="AA84" s="915" t="str">
        <f>IF(예산실적비교표!A74="X","",예산실적비교표!A74)</f>
        <v>판매용구취득비</v>
      </c>
      <c r="AB84" s="1350">
        <f>AC83-AB85</f>
        <v>0</v>
      </c>
      <c r="AC84" s="1351"/>
      <c r="AD84" s="913" t="str">
        <f>IF(예산실적비교표!D74="X","",예산실적비교표!D74)</f>
        <v>비지정후원금</v>
      </c>
      <c r="AE84" s="760">
        <f>ROUND((AI88-AI90)/AF84,-3)</f>
        <v>0</v>
      </c>
      <c r="AF84" s="501">
        <f>U64</f>
        <v>12</v>
      </c>
      <c r="AH84" s="1509" t="s">
        <v>492</v>
      </c>
      <c r="AI84" s="1510"/>
      <c r="AJ84" s="1511"/>
      <c r="AP84" s="1035" t="str">
        <f>IF(예산실적비교표!AL84&lt;&gt;"",예산실적비교표!AL84,"")</f>
        <v>안혜용</v>
      </c>
      <c r="AQ84" s="1036" t="str">
        <f>IF(예산실적비교표!AM84&lt;&gt;"",예산실적비교표!AM84,"")</f>
        <v>요양보호사 1급</v>
      </c>
      <c r="AR84" s="1037">
        <v>2389071</v>
      </c>
      <c r="AS84" s="1038">
        <f>IF(예산실적비교표!AO84&lt;&gt;"",예산실적비교표!AO84,0)</f>
        <v>0</v>
      </c>
      <c r="AT84" s="971">
        <f t="shared" si="18"/>
        <v>2461000</v>
      </c>
      <c r="AU84" s="1039">
        <f>IF(예산실적비교표!AQ84&lt;&gt;"",예산실적비교표!AQ84,0)</f>
        <v>0</v>
      </c>
      <c r="AV84" s="973">
        <f t="shared" si="19"/>
        <v>205083</v>
      </c>
      <c r="AW84" s="974">
        <f>IF(AR84="",0,ROUND((AT84*$AT$7)*데이터입력!$AF$14+(AT84*$AU$7)*데이터입력!$AF$14+(AT84*$AU$7*$AV$7)*데이터입력!$AF$14+(AT84*$AW$7)*데이터입력!$AF$14+(AT84*$AX$7)*데이터입력!$AF$14,-1))</f>
        <v>344800</v>
      </c>
      <c r="AX84" s="975">
        <f t="shared" si="20"/>
        <v>3010883</v>
      </c>
      <c r="AY84" s="976">
        <f>IFERROR(IF($AE$2=TRUE,IF(AR84+AS84=0,0,AR84+AS84),ROUND(IF(데이터입력!$AF$14=100%,ROUND(AR84*$AR$1,-3),ROUND(AR84*$AR$1,-3)-ROUND(((AR84*$AR$1)*$AT$4)*(데이터입력!$AF$14-100%)+((AR84*$AR$1)*$AU$4)*(데이터입력!$AF$14-100%)+((AR84*$AR$1)*$AU$4*$AV$4)*(데이터입력!$AF$14-100%)+((AR84*$AR$1)*$AW$4)*(데이터입력!$AF$14-100%),-1)),0)),0)</f>
        <v>2389260</v>
      </c>
      <c r="AZ84" s="977">
        <f>IFERROR(IF(AR84+AS84=0,0,IF(데이터입력!$AF$12=100%,(AT84),(AT84)+ROUND(AT84*(데이터입력!$AF$12-100%),-1))),0)</f>
        <v>2461000</v>
      </c>
      <c r="BA84" s="1097">
        <f>IFERROR(IF(AZ84=0,"",IF(AND(예산실적비교표!AP84&gt;0,예산실적비교표!AW84=0),"",ROUND(AZ84/12,0))),"")</f>
        <v>205083</v>
      </c>
      <c r="BB84" s="1096">
        <f>IF(BA84="","",IF(데이터입력!$O$70="",ROUND(AZ84/12,0),ROUND(데이터입력!$O$70/데이터입력!$Y$8/$BC$63,0)))</f>
        <v>205083</v>
      </c>
    </row>
    <row r="85" spans="1:54" ht="17.25" thickBot="1">
      <c r="A85" s="902" t="str">
        <f>IF($AM$1=TRUE,IF(K85="","",SUBTOTAL(2,$K$3:K85)),IF(AND(M85="",N85=""),"",IF(N85="",COUNT($M$3:M85),COUNT($N$3:N85)+200)))</f>
        <v/>
      </c>
      <c r="B85" s="349" t="s">
        <v>44</v>
      </c>
      <c r="C85" s="349" t="s">
        <v>570</v>
      </c>
      <c r="D85" s="348">
        <v>501010301</v>
      </c>
      <c r="E85" s="348" t="s">
        <v>84</v>
      </c>
      <c r="F85" s="348" t="s">
        <v>81</v>
      </c>
      <c r="G85" s="350">
        <f>IFERROR(IF($E85="07",VLOOKUP($B85,예산실적비교표!$X$7:$Z$200,2,FALSE),0),0)</f>
        <v>0</v>
      </c>
      <c r="H85" s="350">
        <f>IFERROR(IF($E85="06",VLOOKUP($C85,세출예산서!$K$3:$X$307,12,FALSE),0),0)</f>
        <v>0</v>
      </c>
      <c r="I85" s="350">
        <f>IFERROR(IF($E85="07",VLOOKUP($C85,세출예산서!$K$3:$X$307,13,FALSE),0),0)</f>
        <v>0</v>
      </c>
      <c r="J85" s="350">
        <f>IFERROR(IF($E85="05",VLOOKUP($C85,세출예산서!$K$3:$X$307,14,FALSE),0),0)</f>
        <v>0</v>
      </c>
      <c r="K85" s="350" t="str">
        <f t="shared" si="11"/>
        <v/>
      </c>
      <c r="L85" s="351">
        <f>IFERROR(IF($AB$2="",0,ROUNDUP(VLOOKUP($B85,예산실적비교표!$X$7:$Z$200,3,FALSE)*$Y$7/($Y$8-(12-$Y$10)),-2)*$Y$8),0)</f>
        <v>0</v>
      </c>
      <c r="M85" s="597" t="str">
        <f>IF($AM$1=TRUE,IF(K85="","",IF(IF($AE$2="",IF(K85="","",SUBTOTAL(2,$K$3:K85)),IF(AND(G85&gt;=0,K85=""),"",IF(AND(G85&gt;0,OR(K85&gt;0,K85&lt;0)),SUBTOTAL(2,$K$3:K85),IF(AND(G85=0,OR(K85&gt;0,K85&lt;0)),SUBTOTAL(2,$K$3:K85)+200,""))))&gt;200,"",1)),IF(K85="","",IF(IF($AE$2="",IF(K85="","",SUBTOTAL(2,$K$3:K85)),IF(AND(G85&gt;=0,K85=""),"",IF(AND(G85&gt;0,OR(K85&gt;0,K85&lt;0)),SUBTOTAL(2,$K$3:K85),IF(AND(G85=0,OR(K85&gt;0,K85&lt;0)),SUBTOTAL(2,$K$3:K85)+200,""))))&gt;200,"",1)))</f>
        <v/>
      </c>
      <c r="N85" s="161" t="str">
        <f>IF($AM$1=TRUE,IF(K85="","",IF(IF($AE$2="",IF(K85="","",SUBTOTAL(2,$K$3:K85)),IF(AND(G85&gt;=0,K85=""),"",IF(AND(G85&gt;0,OR(K85&gt;0,K85&lt;0)),SUBTOTAL(2,$K$3:K85),IF(AND(G85=0,OR(K85&gt;0,K85&lt;0)),SUBTOTAL(2,$K$3:K85)+200,""))))&lt;=200,"",2)),IF(K85="","",IF(IF($AE$2="",IF(K85="","",SUBTOTAL(2,$K$3:K85)),IF(AND(G85&gt;=0,K85=""),"",IF(AND(G85&gt;0,OR(K85&gt;0,K85&lt;0)),SUBTOTAL(2,$K$3:K85),IF(AND(G85=0,OR(K85&gt;0,K85&lt;0)),SUBTOTAL(2,$K$3:K85)+200,""))))&lt;=200,"",2)))</f>
        <v/>
      </c>
      <c r="O85" s="482"/>
      <c r="P85" s="364">
        <f>IFERROR(IF($AE$2="추경",IF(VLOOKUP(R85,$B$42:$L$80,6,FALSE)&gt;=VLOOKUP(R85,$B$42:$L$80,11,FALSE),VLOOKUP(R85,$B$42:$L$80,6,FALSE),VLOOKUP(R85,예산평균!$B:$D,3,FALSE)),IF(VLOOKUP(R85,$B$42:$L$80,11,FALSE)&gt;0,IF(VLOOKUP(R85,$B$42:$L$80,6,FALSE)&gt;=VLOOKUP(R85,$B$42:$L$80,11,FALSE),VLOOKUP(R85,$B$42:$L$80,6,FALSE),ROUNDUP(VLOOKUP(R85,$B$42:$L$80,11,FALSE)/U85,-4)*U85),VLOOKUP(R85,예산평균!$B:$D,3,FALSE))),0)</f>
        <v>16800000</v>
      </c>
      <c r="Q85" s="487">
        <v>0</v>
      </c>
      <c r="R85" s="422" t="s">
        <v>60</v>
      </c>
      <c r="S85" s="423" t="s">
        <v>80</v>
      </c>
      <c r="T85" s="358">
        <f t="shared" si="23"/>
        <v>16800000</v>
      </c>
      <c r="U85" s="490">
        <f t="shared" si="24"/>
        <v>12</v>
      </c>
      <c r="V85" s="360" t="s">
        <v>126</v>
      </c>
      <c r="X85" s="557" t="str">
        <f>IF(예산실적비교표!G68="X","",예산실적비교표!G68)</f>
        <v/>
      </c>
      <c r="Y85" s="758">
        <f>IF($AB$2="",0,IF(X85="",0,예산실적비교표!B75))</f>
        <v>0</v>
      </c>
      <c r="Z85" s="1133">
        <v>1</v>
      </c>
      <c r="AA85" s="916" t="str">
        <f>IF(예산실적비교표!A75="X","",예산실적비교표!A75)</f>
        <v/>
      </c>
      <c r="AB85" s="1352">
        <f>IF($AB$2="",0,IF(AA85="",0,예산실적비교표!B75))</f>
        <v>0</v>
      </c>
      <c r="AC85" s="1353"/>
      <c r="AD85" s="1136" t="str">
        <f>IF(예산실적비교표!D75="X","",예산실적비교표!D75)</f>
        <v/>
      </c>
      <c r="AE85" s="759">
        <f>IF($AB$2="",0,IF(AD85="",0,예산실적비교표!E75))</f>
        <v>0</v>
      </c>
      <c r="AF85" s="1137">
        <f>AF84</f>
        <v>12</v>
      </c>
      <c r="AH85" s="549" t="str">
        <f>AD80</f>
        <v>지정후원금</v>
      </c>
      <c r="AI85" s="1357">
        <f>세입예산서!Z85</f>
        <v>0</v>
      </c>
      <c r="AJ85" s="1358"/>
      <c r="AP85" s="1035" t="s">
        <v>894</v>
      </c>
      <c r="AQ85" s="1036" t="str">
        <f>IF(예산실적비교표!AM85&lt;&gt;"",예산실적비교표!AM85,"")</f>
        <v>요양보호사 1급</v>
      </c>
      <c r="AR85" s="1037">
        <v>2200000</v>
      </c>
      <c r="AS85" s="1038">
        <f>IF(예산실적비교표!AO85&lt;&gt;"",예산실적비교표!AO85,0)</f>
        <v>0</v>
      </c>
      <c r="AT85" s="971">
        <f t="shared" si="18"/>
        <v>2266000</v>
      </c>
      <c r="AU85" s="1039">
        <f>IF(예산실적비교표!AQ85&lt;&gt;"",예산실적비교표!AQ85,0)</f>
        <v>0</v>
      </c>
      <c r="AV85" s="973">
        <f t="shared" si="19"/>
        <v>188833</v>
      </c>
      <c r="AW85" s="974">
        <f>IF(AR85="",0,ROUND((AT85*$AT$7)*데이터입력!$AF$14+(AT85*$AU$7)*데이터입력!$AF$14+(AT85*$AU$7*$AV$7)*데이터입력!$AF$14+(AT85*$AW$7)*데이터입력!$AF$14+(AT85*$AX$7)*데이터입력!$AF$14,-1))</f>
        <v>317480</v>
      </c>
      <c r="AX85" s="975">
        <f t="shared" si="20"/>
        <v>2772313</v>
      </c>
      <c r="AY85" s="976">
        <f>IFERROR(IF($AE$2=TRUE,IF(AR85+AS85=0,0,AR85+AS85),ROUND(IF(데이터입력!$AF$14=100%,ROUND(AR85*$AR$1,-3),ROUND(AR85*$AR$1,-3)-ROUND(((AR85*$AR$1)*$AT$4)*(데이터입력!$AF$14-100%)+((AR85*$AR$1)*$AU$4)*(데이터입력!$AF$14-100%)+((AR85*$AR$1)*$AU$4*$AV$4)*(데이터입력!$AF$14-100%)+((AR85*$AR$1)*$AW$4)*(데이터입력!$AF$14-100%),-1)),0)),0)</f>
        <v>2199940</v>
      </c>
      <c r="AZ85" s="977">
        <f>IFERROR(IF(AR85+AS85=0,0,IF(데이터입력!$AF$12=100%,(AT85),(AT85)+ROUND(AT85*(데이터입력!$AF$12-100%),-1))),0)</f>
        <v>2266000</v>
      </c>
      <c r="BA85" s="1097">
        <f>IFERROR(IF(AZ85=0,"",IF(AND(예산실적비교표!AP85&gt;0,예산실적비교표!AW85=0),"",ROUND(AZ85/12,0))),"")</f>
        <v>188833</v>
      </c>
      <c r="BB85" s="1096">
        <f>IF(BA85="","",IF(데이터입력!$O$70="",ROUND(AZ85/12,0),ROUND(데이터입력!$O$70/데이터입력!$Y$8/$BC$63,0)))</f>
        <v>188833</v>
      </c>
    </row>
    <row r="86" spans="1:54" ht="17.25" thickBot="1">
      <c r="A86" s="902" t="str">
        <f>IF($AM$1=TRUE,IF(K86="","",SUBTOTAL(2,$K$3:K86)),IF(AND(M86="",N86=""),"",IF(N86="",COUNT($M$3:M86),COUNT($N$3:N86)+200)))</f>
        <v/>
      </c>
      <c r="B86" s="349" t="s">
        <v>45</v>
      </c>
      <c r="C86" s="349" t="s">
        <v>571</v>
      </c>
      <c r="D86" s="348">
        <v>501010302</v>
      </c>
      <c r="E86" s="348" t="s">
        <v>84</v>
      </c>
      <c r="F86" s="348" t="s">
        <v>81</v>
      </c>
      <c r="G86" s="350">
        <f>IFERROR(IF($E86="07",VLOOKUP($B86,예산실적비교표!$X$7:$Z$200,2,FALSE),0),0)</f>
        <v>0</v>
      </c>
      <c r="H86" s="350">
        <f>IFERROR(IF($E86="06",VLOOKUP($C86,세출예산서!$K$3:$X$307,12,FALSE),0),0)</f>
        <v>0</v>
      </c>
      <c r="I86" s="350">
        <f>IFERROR(IF($E86="07",VLOOKUP($C86,세출예산서!$K$3:$X$307,13,FALSE),0),0)</f>
        <v>0</v>
      </c>
      <c r="J86" s="350">
        <f>IFERROR(IF($E86="05",VLOOKUP($C86,세출예산서!$K$3:$X$307,14,FALSE),0),0)</f>
        <v>0</v>
      </c>
      <c r="K86" s="350" t="str">
        <f t="shared" si="11"/>
        <v/>
      </c>
      <c r="L86" s="351">
        <f>IFERROR(IF($AB$2="",0,ROUNDUP(VLOOKUP($B86,예산실적비교표!$X$7:$Z$200,3,FALSE)*$Y$7/($Y$8-(12-$Y$10)),-2)*$Y$8),0)</f>
        <v>0</v>
      </c>
      <c r="M86" s="597" t="str">
        <f>IF($AM$1=TRUE,IF(K86="","",IF(IF($AE$2="",IF(K86="","",SUBTOTAL(2,$K$3:K86)),IF(AND(G86&gt;=0,K86=""),"",IF(AND(G86&gt;0,OR(K86&gt;0,K86&lt;0)),SUBTOTAL(2,$K$3:K86),IF(AND(G86=0,OR(K86&gt;0,K86&lt;0)),SUBTOTAL(2,$K$3:K86)+200,""))))&gt;200,"",1)),IF(K86="","",IF(IF($AE$2="",IF(K86="","",SUBTOTAL(2,$K$3:K86)),IF(AND(G86&gt;=0,K86=""),"",IF(AND(G86&gt;0,OR(K86&gt;0,K86&lt;0)),SUBTOTAL(2,$K$3:K86),IF(AND(G86=0,OR(K86&gt;0,K86&lt;0)),SUBTOTAL(2,$K$3:K86)+200,""))))&gt;200,"",1)))</f>
        <v/>
      </c>
      <c r="N86" s="161" t="str">
        <f>IF($AM$1=TRUE,IF(K86="","",IF(IF($AE$2="",IF(K86="","",SUBTOTAL(2,$K$3:K86)),IF(AND(G86&gt;=0,K86=""),"",IF(AND(G86&gt;0,OR(K86&gt;0,K86&lt;0)),SUBTOTAL(2,$K$3:K86),IF(AND(G86=0,OR(K86&gt;0,K86&lt;0)),SUBTOTAL(2,$K$3:K86)+200,""))))&lt;=200,"",2)),IF(K86="","",IF(IF($AE$2="",IF(K86="","",SUBTOTAL(2,$K$3:K86)),IF(AND(G86&gt;=0,K86=""),"",IF(AND(G86&gt;0,OR(K86&gt;0,K86&lt;0)),SUBTOTAL(2,$K$3:K86),IF(AND(G86=0,OR(K86&gt;0,K86&lt;0)),SUBTOTAL(2,$K$3:K86)+200,""))))&lt;=200,"",2)))</f>
        <v/>
      </c>
      <c r="O86" s="482"/>
      <c r="P86" s="364">
        <f>IF(AND(AE2="추경",VLOOKUP(R86,$B$42:$L$80,11,FALSE)&gt;H4+H27+H23),ROUNDUP(VLOOKUP(R86,$B$42:$L$80,11,FALSE),0),H4+H27+H23)</f>
        <v>165735662</v>
      </c>
      <c r="Q86" s="487">
        <v>0</v>
      </c>
      <c r="R86" s="422" t="s">
        <v>61</v>
      </c>
      <c r="S86" s="423" t="s">
        <v>80</v>
      </c>
      <c r="T86" s="358">
        <f t="shared" si="23"/>
        <v>165735662</v>
      </c>
      <c r="U86" s="490">
        <f t="shared" si="24"/>
        <v>12</v>
      </c>
      <c r="V86" s="424" t="s">
        <v>141</v>
      </c>
      <c r="X86" s="428"/>
      <c r="Y86" s="429"/>
      <c r="Z86" s="429"/>
      <c r="AA86" s="429"/>
      <c r="AB86" s="429"/>
      <c r="AC86" s="429"/>
      <c r="AD86" s="429"/>
      <c r="AE86" s="429"/>
      <c r="AF86" s="430"/>
      <c r="AH86" s="278" t="str">
        <f>세입예산서!L86</f>
        <v xml:space="preserve">    - 지정후원금</v>
      </c>
      <c r="AI86" s="1344">
        <f>세입예산서!X86</f>
        <v>0</v>
      </c>
      <c r="AJ86" s="1345"/>
      <c r="AP86" s="1035" t="s">
        <v>895</v>
      </c>
      <c r="AQ86" s="1036" t="str">
        <f>IF(예산실적비교표!AM86&lt;&gt;"",예산실적비교표!AM86,"")</f>
        <v>요양보호사 1급</v>
      </c>
      <c r="AR86" s="1037">
        <v>2200000</v>
      </c>
      <c r="AS86" s="1038">
        <f>IF(예산실적비교표!AO86&lt;&gt;"",예산실적비교표!AO86,0)</f>
        <v>0</v>
      </c>
      <c r="AT86" s="971">
        <f t="shared" si="18"/>
        <v>2266000</v>
      </c>
      <c r="AU86" s="1039">
        <f>IF(예산실적비교표!AQ86&lt;&gt;"",예산실적비교표!AQ86,0)</f>
        <v>0</v>
      </c>
      <c r="AV86" s="973">
        <f t="shared" si="19"/>
        <v>188833</v>
      </c>
      <c r="AW86" s="974">
        <f>IF(AR86="",0,ROUND((AT86*$AT$7)*데이터입력!$AF$14+(AT86*$AU$7)*데이터입력!$AF$14+(AT86*$AU$7*$AV$7)*데이터입력!$AF$14+(AT86*$AW$7)*데이터입력!$AF$14+(AT86*$AX$7)*데이터입력!$AF$14,-1))</f>
        <v>317480</v>
      </c>
      <c r="AX86" s="975">
        <f t="shared" si="20"/>
        <v>2772313</v>
      </c>
      <c r="AY86" s="976">
        <f>IFERROR(IF($AE$2=TRUE,IF(AR86+AS86=0,0,AR86+AS86),ROUND(IF(데이터입력!$AF$14=100%,ROUND(AR86*$AR$1,-3),ROUND(AR86*$AR$1,-3)-ROUND(((AR86*$AR$1)*$AT$4)*(데이터입력!$AF$14-100%)+((AR86*$AR$1)*$AU$4)*(데이터입력!$AF$14-100%)+((AR86*$AR$1)*$AU$4*$AV$4)*(데이터입력!$AF$14-100%)+((AR86*$AR$1)*$AW$4)*(데이터입력!$AF$14-100%),-1)),0)),0)</f>
        <v>2199940</v>
      </c>
      <c r="AZ86" s="977">
        <f>IFERROR(IF(AR86+AS86=0,0,IF(데이터입력!$AF$12=100%,(AT86),(AT86)+ROUND(AT86*(데이터입력!$AF$12-100%),-1))),0)</f>
        <v>2266000</v>
      </c>
      <c r="BA86" s="1097">
        <f>IFERROR(IF(AZ86=0,"",IF(AND(예산실적비교표!AP86&gt;0,예산실적비교표!AW86=0),"",ROUND(AZ86/12,0))),"")</f>
        <v>188833</v>
      </c>
      <c r="BB86" s="1096">
        <f>IF(BA86="","",IF(데이터입력!$O$70="",ROUND(AZ86/12,0),ROUND(데이터입력!$O$70/데이터입력!$Y$8/$BC$63,0)))</f>
        <v>188833</v>
      </c>
    </row>
    <row r="87" spans="1:54" ht="17.25" thickBot="1">
      <c r="A87" s="902" t="str">
        <f>IF($AM$1=TRUE,IF(K87="","",SUBTOTAL(2,$K$3:K87)),IF(AND(M87="",N87=""),"",IF(N87="",COUNT($M$3:M87),COUNT($N$3:N87)+200)))</f>
        <v/>
      </c>
      <c r="B87" s="349" t="s">
        <v>46</v>
      </c>
      <c r="C87" s="349" t="s">
        <v>572</v>
      </c>
      <c r="D87" s="348">
        <v>501010501</v>
      </c>
      <c r="E87" s="348" t="s">
        <v>84</v>
      </c>
      <c r="F87" s="348" t="s">
        <v>81</v>
      </c>
      <c r="G87" s="350">
        <f>IFERROR(IF($E87="07",VLOOKUP($B87,예산실적비교표!$X$7:$Z$200,2,FALSE),0),0)</f>
        <v>0</v>
      </c>
      <c r="H87" s="350">
        <f>IFERROR(IF($E87="06",VLOOKUP($C87,세출예산서!$K$3:$X$307,12,FALSE),0),0)</f>
        <v>0</v>
      </c>
      <c r="I87" s="350">
        <f>IFERROR(IF($E87="07",VLOOKUP($C87,세출예산서!$K$3:$X$307,13,FALSE),0),0)</f>
        <v>0</v>
      </c>
      <c r="J87" s="350">
        <f>IFERROR(IF($E87="05",VLOOKUP($C87,세출예산서!$K$3:$X$307,14,FALSE),0),0)</f>
        <v>0</v>
      </c>
      <c r="K87" s="350" t="str">
        <f t="shared" si="11"/>
        <v/>
      </c>
      <c r="L87" s="351">
        <f>IFERROR(IF($AB$2="",0,ROUNDUP(VLOOKUP($B87,예산실적비교표!$X$7:$Z$200,3,FALSE)*$Y$7/($Y$8-(12-$Y$10)),-2)*$Y$8),0)</f>
        <v>0</v>
      </c>
      <c r="M87" s="597" t="str">
        <f>IF($AM$1=TRUE,IF(K87="","",IF(IF($AE$2="",IF(K87="","",SUBTOTAL(2,$K$3:K87)),IF(AND(G87&gt;=0,K87=""),"",IF(AND(G87&gt;0,OR(K87&gt;0,K87&lt;0)),SUBTOTAL(2,$K$3:K87),IF(AND(G87=0,OR(K87&gt;0,K87&lt;0)),SUBTOTAL(2,$K$3:K87)+200,""))))&gt;200,"",1)),IF(K87="","",IF(IF($AE$2="",IF(K87="","",SUBTOTAL(2,$K$3:K87)),IF(AND(G87&gt;=0,K87=""),"",IF(AND(G87&gt;0,OR(K87&gt;0,K87&lt;0)),SUBTOTAL(2,$K$3:K87),IF(AND(G87=0,OR(K87&gt;0,K87&lt;0)),SUBTOTAL(2,$K$3:K87)+200,""))))&gt;200,"",1)))</f>
        <v/>
      </c>
      <c r="N87" s="161" t="str">
        <f>IF($AM$1=TRUE,IF(K87="","",IF(IF($AE$2="",IF(K87="","",SUBTOTAL(2,$K$3:K87)),IF(AND(G87&gt;=0,K87=""),"",IF(AND(G87&gt;0,OR(K87&gt;0,K87&lt;0)),SUBTOTAL(2,$K$3:K87),IF(AND(G87=0,OR(K87&gt;0,K87&lt;0)),SUBTOTAL(2,$K$3:K87)+200,""))))&lt;=200,"",2)),IF(K87="","",IF(IF($AE$2="",IF(K87="","",SUBTOTAL(2,$K$3:K87)),IF(AND(G87&gt;=0,K87=""),"",IF(AND(G87&gt;0,OR(K87&gt;0,K87&lt;0)),SUBTOTAL(2,$K$3:K87),IF(AND(G87=0,OR(K87&gt;0,K87&lt;0)),SUBTOTAL(2,$K$3:K87)+200,""))))&lt;=200,"",2)))</f>
        <v/>
      </c>
      <c r="O87" s="482"/>
      <c r="P87" s="364">
        <f>IFERROR(IF($AE$2="추경",IF(VLOOKUP(R87,$B$42:$L$80,6,FALSE)&gt;=VLOOKUP(R87,$B$42:$L$80,11,FALSE),VLOOKUP(R87,$B$42:$L$80,6,FALSE),VLOOKUP(R87,예산평균!$B:$D,3,FALSE)),IF(VLOOKUP(R87,$B$42:$L$80,11,FALSE)&gt;0,IF(VLOOKUP(R87,$B$42:$L$80,6,FALSE)&gt;=VLOOKUP(R87,$B$42:$L$80,11,FALSE),VLOOKUP(R87,$B$42:$L$80,6,FALSE),ROUNDUP(VLOOKUP(R87,$B$42:$L$80,11,FALSE)/U87,-3)*U87),VLOOKUP(R87,예산평균!$B:$D,3,FALSE))),0)</f>
        <v>24000000</v>
      </c>
      <c r="Q87" s="487">
        <v>0</v>
      </c>
      <c r="R87" s="422" t="s">
        <v>62</v>
      </c>
      <c r="S87" s="423" t="s">
        <v>80</v>
      </c>
      <c r="T87" s="358">
        <f t="shared" si="23"/>
        <v>24000000</v>
      </c>
      <c r="U87" s="490">
        <f t="shared" si="24"/>
        <v>12</v>
      </c>
      <c r="V87" s="424" t="s">
        <v>141</v>
      </c>
      <c r="X87" s="425" t="s">
        <v>189</v>
      </c>
      <c r="Y87" s="1365" t="s">
        <v>190</v>
      </c>
      <c r="Z87" s="1366"/>
      <c r="AA87" s="1365" t="s">
        <v>128</v>
      </c>
      <c r="AB87" s="1367"/>
      <c r="AC87" s="1411" t="s">
        <v>191</v>
      </c>
      <c r="AD87" s="1367"/>
      <c r="AE87" s="1411" t="s">
        <v>192</v>
      </c>
      <c r="AF87" s="1367"/>
      <c r="AH87" s="278" t="str">
        <f>세입예산서!L87</f>
        <v xml:space="preserve">    - </v>
      </c>
      <c r="AI87" s="1359">
        <f>세입예산서!X87</f>
        <v>0</v>
      </c>
      <c r="AJ87" s="1360"/>
      <c r="AP87" s="1035" t="s">
        <v>896</v>
      </c>
      <c r="AQ87" s="1036" t="str">
        <f>IF(예산실적비교표!AM87&lt;&gt;"",예산실적비교표!AM87,"")</f>
        <v>요양보호사 1급</v>
      </c>
      <c r="AR87" s="1037">
        <v>2200000</v>
      </c>
      <c r="AS87" s="1038">
        <f>IF(예산실적비교표!AO87&lt;&gt;"",예산실적비교표!AO87,0)</f>
        <v>0</v>
      </c>
      <c r="AT87" s="971">
        <f t="shared" si="18"/>
        <v>2266000</v>
      </c>
      <c r="AU87" s="1039">
        <f>IF(예산실적비교표!AQ87&lt;&gt;"",예산실적비교표!AQ87,0)</f>
        <v>0</v>
      </c>
      <c r="AV87" s="973">
        <f t="shared" si="19"/>
        <v>188833</v>
      </c>
      <c r="AW87" s="974">
        <f>IF(AR87="",0,ROUND((AT87*$AT$7)*데이터입력!$AF$14+(AT87*$AU$7)*데이터입력!$AF$14+(AT87*$AU$7*$AV$7)*데이터입력!$AF$14+(AT87*$AW$7)*데이터입력!$AF$14+(AT87*$AX$7)*데이터입력!$AF$14,-1))</f>
        <v>317480</v>
      </c>
      <c r="AX87" s="975">
        <f t="shared" si="20"/>
        <v>2772313</v>
      </c>
      <c r="AY87" s="976">
        <f>IFERROR(IF($AE$2=TRUE,IF(AR87+AS87=0,0,AR87+AS87),ROUND(IF(데이터입력!$AF$14=100%,ROUND(AR87*$AR$1,-3),ROUND(AR87*$AR$1,-3)-ROUND(((AR87*$AR$1)*$AT$4)*(데이터입력!$AF$14-100%)+((AR87*$AR$1)*$AU$4)*(데이터입력!$AF$14-100%)+((AR87*$AR$1)*$AU$4*$AV$4)*(데이터입력!$AF$14-100%)+((AR87*$AR$1)*$AW$4)*(데이터입력!$AF$14-100%),-1)),0)),0)</f>
        <v>2199940</v>
      </c>
      <c r="AZ87" s="977">
        <f>IFERROR(IF(AR87+AS87=0,0,IF(데이터입력!$AF$12=100%,(AT87),(AT87)+ROUND(AT87*(데이터입력!$AF$12-100%),-1))),0)</f>
        <v>2266000</v>
      </c>
      <c r="BA87" s="1097">
        <f>IFERROR(IF(AZ87=0,"",IF(AND(예산실적비교표!AP87&gt;0,예산실적비교표!AW87=0),"",ROUND(AZ87/12,0))),"")</f>
        <v>188833</v>
      </c>
      <c r="BB87" s="1096">
        <f>IF(BA87="","",IF(데이터입력!$O$70="",ROUND(AZ87/12,0),ROUND(데이터입력!$O$70/데이터입력!$Y$8/$BC$63,0)))</f>
        <v>188833</v>
      </c>
    </row>
    <row r="88" spans="1:54" ht="17.25" thickBot="1">
      <c r="A88" s="902" t="str">
        <f>IF($AM$1=TRUE,IF(K88="","",SUBTOTAL(2,$K$3:K88)),IF(AND(M88="",N88=""),"",IF(N88="",COUNT($M$3:M88),COUNT($N$3:N88)+200)))</f>
        <v/>
      </c>
      <c r="B88" s="349" t="s">
        <v>47</v>
      </c>
      <c r="C88" s="349" t="s">
        <v>573</v>
      </c>
      <c r="D88" s="348">
        <v>501010502</v>
      </c>
      <c r="E88" s="348" t="s">
        <v>84</v>
      </c>
      <c r="F88" s="348" t="s">
        <v>81</v>
      </c>
      <c r="G88" s="350">
        <f>IFERROR(IF($E88="07",VLOOKUP($B88,예산실적비교표!$X$7:$Z$200,2,FALSE),0),0)</f>
        <v>0</v>
      </c>
      <c r="H88" s="350">
        <f>IFERROR(IF($E88="06",VLOOKUP($C88,세출예산서!$K$3:$X$307,12,FALSE),0),0)</f>
        <v>0</v>
      </c>
      <c r="I88" s="350">
        <f>IFERROR(IF($E88="07",VLOOKUP($C88,세출예산서!$K$3:$X$307,13,FALSE),0),0)</f>
        <v>0</v>
      </c>
      <c r="J88" s="350">
        <f>IFERROR(IF($E88="05",VLOOKUP($C88,세출예산서!$K$3:$X$307,14,FALSE),0),0)</f>
        <v>0</v>
      </c>
      <c r="K88" s="350" t="str">
        <f t="shared" si="11"/>
        <v/>
      </c>
      <c r="L88" s="351">
        <f>IFERROR(IF($AB$2="",0,ROUNDUP(VLOOKUP($B88,예산실적비교표!$X$7:$Z$200,3,FALSE)*$Y$7/($Y$8-(12-$Y$10)),-2)*$Y$8),0)</f>
        <v>0</v>
      </c>
      <c r="M88" s="597" t="str">
        <f>IF($AM$1=TRUE,IF(K88="","",IF(IF($AE$2="",IF(K88="","",SUBTOTAL(2,$K$3:K88)),IF(AND(G88&gt;=0,K88=""),"",IF(AND(G88&gt;0,OR(K88&gt;0,K88&lt;0)),SUBTOTAL(2,$K$3:K88),IF(AND(G88=0,OR(K88&gt;0,K88&lt;0)),SUBTOTAL(2,$K$3:K88)+200,""))))&gt;200,"",1)),IF(K88="","",IF(IF($AE$2="",IF(K88="","",SUBTOTAL(2,$K$3:K88)),IF(AND(G88&gt;=0,K88=""),"",IF(AND(G88&gt;0,OR(K88&gt;0,K88&lt;0)),SUBTOTAL(2,$K$3:K88),IF(AND(G88=0,OR(K88&gt;0,K88&lt;0)),SUBTOTAL(2,$K$3:K88)+200,""))))&gt;200,"",1)))</f>
        <v/>
      </c>
      <c r="N88" s="161" t="str">
        <f>IF($AM$1=TRUE,IF(K88="","",IF(IF($AE$2="",IF(K88="","",SUBTOTAL(2,$K$3:K88)),IF(AND(G88&gt;=0,K88=""),"",IF(AND(G88&gt;0,OR(K88&gt;0,K88&lt;0)),SUBTOTAL(2,$K$3:K88),IF(AND(G88=0,OR(K88&gt;0,K88&lt;0)),SUBTOTAL(2,$K$3:K88)+200,""))))&lt;=200,"",2)),IF(K88="","",IF(IF($AE$2="",IF(K88="","",SUBTOTAL(2,$K$3:K88)),IF(AND(G88&gt;=0,K88=""),"",IF(AND(G88&gt;0,OR(K88&gt;0,K88&lt;0)),SUBTOTAL(2,$K$3:K88),IF(AND(G88=0,OR(K88&gt;0,K88&lt;0)),SUBTOTAL(2,$K$3:K88)+200,""))))&lt;=200,"",2)))</f>
        <v/>
      </c>
      <c r="O88" s="482">
        <v>36000000</v>
      </c>
      <c r="P88" s="364">
        <f>IFERROR(IF($AE$2="추경",IF(VLOOKUP(R88,$B$42:$L$80,6,FALSE)&gt;=VLOOKUP(R88,$B$42:$L$80,11,FALSE),VLOOKUP(R88,$B$42:$L$80,6,FALSE),VLOOKUP(R88,예산평균!$B:$D,3,FALSE)),IF(VLOOKUP(R88,$B$42:$L$80,11,FALSE)&gt;0,IF(VLOOKUP(R88,$B$42:$L$80,6,FALSE)&gt;=VLOOKUP(R88,$B$42:$L$80,11,FALSE),VLOOKUP(R88,$B$42:$L$80,6,FALSE),ROUNDUP(VLOOKUP(R88,$B$42:$L$80,11,FALSE)/U88,-3)*U88),VLOOKUP(R88,예산평균!$B:$D,3,FALSE))),0)</f>
        <v>44400000</v>
      </c>
      <c r="Q88" s="487">
        <v>0</v>
      </c>
      <c r="R88" s="422" t="s">
        <v>63</v>
      </c>
      <c r="S88" s="423" t="s">
        <v>80</v>
      </c>
      <c r="T88" s="358">
        <f t="shared" si="23"/>
        <v>36000000</v>
      </c>
      <c r="U88" s="490">
        <f t="shared" si="24"/>
        <v>12</v>
      </c>
      <c r="V88" s="424" t="s">
        <v>141</v>
      </c>
      <c r="X88" s="426" t="s">
        <v>193</v>
      </c>
      <c r="Y88" s="1354">
        <f t="shared" ref="Y88:Y97" si="25">SUM(H42:J42,H81:J81,H111:J111)</f>
        <v>0</v>
      </c>
      <c r="Z88" s="1355"/>
      <c r="AA88" s="1354" t="e">
        <f>#REF!</f>
        <v>#REF!</v>
      </c>
      <c r="AB88" s="1356"/>
      <c r="AC88" s="1361" t="e">
        <f>Y88-AA88</f>
        <v>#REF!</v>
      </c>
      <c r="AD88" s="1362"/>
      <c r="AE88" s="1363">
        <v>280</v>
      </c>
      <c r="AF88" s="1364"/>
      <c r="AH88" s="549" t="str">
        <f>AD83</f>
        <v>비지정후원금</v>
      </c>
      <c r="AI88" s="1357">
        <f>세입예산서!Z88</f>
        <v>0</v>
      </c>
      <c r="AJ88" s="1358"/>
      <c r="AP88" s="1035" t="s">
        <v>897</v>
      </c>
      <c r="AQ88" s="1036" t="str">
        <f>IF(예산실적비교표!AM88&lt;&gt;"",예산실적비교표!AM88,"")</f>
        <v>요양보호사 1급</v>
      </c>
      <c r="AR88" s="1037">
        <v>2200000</v>
      </c>
      <c r="AS88" s="1038">
        <f>IF(예산실적비교표!AO88&lt;&gt;"",예산실적비교표!AO88,0)</f>
        <v>0</v>
      </c>
      <c r="AT88" s="971">
        <f t="shared" si="18"/>
        <v>2266000</v>
      </c>
      <c r="AU88" s="1039">
        <f>IF(예산실적비교표!AQ88&lt;&gt;"",예산실적비교표!AQ88,0)</f>
        <v>0</v>
      </c>
      <c r="AV88" s="973">
        <f t="shared" si="19"/>
        <v>188833</v>
      </c>
      <c r="AW88" s="974">
        <f>IF(AR88="",0,ROUND((AT88*$AT$7)*데이터입력!$AF$14+(AT88*$AU$7)*데이터입력!$AF$14+(AT88*$AU$7*$AV$7)*데이터입력!$AF$14+(AT88*$AW$7)*데이터입력!$AF$14+(AT88*$AX$7)*데이터입력!$AF$14,-1))</f>
        <v>317480</v>
      </c>
      <c r="AX88" s="975">
        <f t="shared" si="20"/>
        <v>2772313</v>
      </c>
      <c r="AY88" s="976">
        <f>IFERROR(IF($AE$2=TRUE,IF(AR88+AS88=0,0,AR88+AS88),ROUND(IF(데이터입력!$AF$14=100%,ROUND(AR88*$AR$1,-3),ROUND(AR88*$AR$1,-3)-ROUND(((AR88*$AR$1)*$AT$4)*(데이터입력!$AF$14-100%)+((AR88*$AR$1)*$AU$4)*(데이터입력!$AF$14-100%)+((AR88*$AR$1)*$AU$4*$AV$4)*(데이터입력!$AF$14-100%)+((AR88*$AR$1)*$AW$4)*(데이터입력!$AF$14-100%),-1)),0)),0)</f>
        <v>2199940</v>
      </c>
      <c r="AZ88" s="977">
        <f>IFERROR(IF(AR88+AS88=0,0,IF(데이터입력!$AF$12=100%,(AT88),(AT88)+ROUND(AT88*(데이터입력!$AF$12-100%),-1))),0)</f>
        <v>2266000</v>
      </c>
      <c r="BA88" s="1097">
        <f>IFERROR(IF(AZ88=0,"",IF(AND(예산실적비교표!AP88&gt;0,예산실적비교표!AW88=0),"",ROUND(AZ88/12,0))),"")</f>
        <v>188833</v>
      </c>
      <c r="BB88" s="1096">
        <f>IF(BA88="","",IF(데이터입력!$O$70="",ROUND(AZ88/12,0),ROUND(데이터입력!$O$70/데이터입력!$Y$8/$BC$63,0)))</f>
        <v>188833</v>
      </c>
    </row>
    <row r="89" spans="1:54">
      <c r="A89" s="902" t="str">
        <f>IF($AM$1=TRUE,IF(K89="","",SUBTOTAL(2,$K$3:K89)),IF(AND(M89="",N89=""),"",IF(N89="",COUNT($M$3:M89),COUNT($N$3:N89)+200)))</f>
        <v/>
      </c>
      <c r="B89" s="349" t="s">
        <v>48</v>
      </c>
      <c r="C89" s="349" t="s">
        <v>574</v>
      </c>
      <c r="D89" s="348">
        <v>501010601</v>
      </c>
      <c r="E89" s="348" t="s">
        <v>84</v>
      </c>
      <c r="F89" s="348" t="s">
        <v>81</v>
      </c>
      <c r="G89" s="350">
        <f>IFERROR(IF($E89="07",VLOOKUP($B89,예산실적비교표!$X$7:$Z$200,2,FALSE),0),0)</f>
        <v>0</v>
      </c>
      <c r="H89" s="350">
        <f>IFERROR(IF($E89="06",VLOOKUP($C89,세출예산서!$K$3:$X$307,12,FALSE),0),0)</f>
        <v>0</v>
      </c>
      <c r="I89" s="350">
        <f>IFERROR(IF($E89="07",VLOOKUP($C89,세출예산서!$K$3:$X$307,13,FALSE),0),0)</f>
        <v>0</v>
      </c>
      <c r="J89" s="350">
        <f>IFERROR(IF($E89="05",VLOOKUP($C89,세출예산서!$K$3:$X$307,14,FALSE),0),0)</f>
        <v>0</v>
      </c>
      <c r="K89" s="350" t="str">
        <f t="shared" si="11"/>
        <v/>
      </c>
      <c r="L89" s="351">
        <f>IFERROR(IF($AB$2="",0,ROUNDUP(VLOOKUP($B89,예산실적비교표!$X$7:$Z$200,3,FALSE)*$Y$7/($Y$8-(12-$Y$10)),-2)*$Y$8),0)</f>
        <v>0</v>
      </c>
      <c r="M89" s="597" t="str">
        <f>IF($AM$1=TRUE,IF(K89="","",IF(IF($AE$2="",IF(K89="","",SUBTOTAL(2,$K$3:K89)),IF(AND(G89&gt;=0,K89=""),"",IF(AND(G89&gt;0,OR(K89&gt;0,K89&lt;0)),SUBTOTAL(2,$K$3:K89),IF(AND(G89=0,OR(K89&gt;0,K89&lt;0)),SUBTOTAL(2,$K$3:K89)+200,""))))&gt;200,"",1)),IF(K89="","",IF(IF($AE$2="",IF(K89="","",SUBTOTAL(2,$K$3:K89)),IF(AND(G89&gt;=0,K89=""),"",IF(AND(G89&gt;0,OR(K89&gt;0,K89&lt;0)),SUBTOTAL(2,$K$3:K89),IF(AND(G89=0,OR(K89&gt;0,K89&lt;0)),SUBTOTAL(2,$K$3:K89)+200,""))))&gt;200,"",1)))</f>
        <v/>
      </c>
      <c r="N89" s="161" t="str">
        <f>IF($AM$1=TRUE,IF(K89="","",IF(IF($AE$2="",IF(K89="","",SUBTOTAL(2,$K$3:K89)),IF(AND(G89&gt;=0,K89=""),"",IF(AND(G89&gt;0,OR(K89&gt;0,K89&lt;0)),SUBTOTAL(2,$K$3:K89),IF(AND(G89=0,OR(K89&gt;0,K89&lt;0)),SUBTOTAL(2,$K$3:K89)+200,""))))&lt;=200,"",2)),IF(K89="","",IF(IF($AE$2="",IF(K89="","",SUBTOTAL(2,$K$3:K89)),IF(AND(G89&gt;=0,K89=""),"",IF(AND(G89&gt;0,OR(K89&gt;0,K89&lt;0)),SUBTOTAL(2,$K$3:K89),IF(AND(G89=0,OR(K89&gt;0,K89&lt;0)),SUBTOTAL(2,$K$3:K89)+200,""))))&lt;=200,"",2)))</f>
        <v/>
      </c>
      <c r="O89" s="482"/>
      <c r="P89" s="364">
        <f>IFERROR(IF($AE$2="추경",IF(VLOOKUP(R89,$B$42:$L$80,6,FALSE)&gt;=VLOOKUP(R89,$B$42:$L$80,11,FALSE),VLOOKUP(R89,$B$42:$L$80,6,FALSE),VLOOKUP(R89,예산평균!$B:$D,3,FALSE)),IF(VLOOKUP(R89,$B$42:$L$80,11,FALSE)&gt;0,IF(VLOOKUP(R89,$B$42:$L$80,6,FALSE)&gt;=VLOOKUP(R89,$B$42:$L$80,11,FALSE),VLOOKUP(R89,$B$42:$L$80,6,FALSE),ROUNDUP(VLOOKUP(R89,$B$42:$L$80,11,FALSE)/U89,-3)*U89),VLOOKUP(R89,예산평균!$B:$D,3,FALSE))),0)</f>
        <v>0</v>
      </c>
      <c r="Q89" s="487">
        <v>0</v>
      </c>
      <c r="R89" s="422" t="s">
        <v>64</v>
      </c>
      <c r="S89" s="423" t="s">
        <v>80</v>
      </c>
      <c r="T89" s="358">
        <f t="shared" si="23"/>
        <v>0</v>
      </c>
      <c r="U89" s="490">
        <f t="shared" si="24"/>
        <v>12</v>
      </c>
      <c r="V89" s="360" t="s">
        <v>126</v>
      </c>
      <c r="X89" s="426" t="s">
        <v>194</v>
      </c>
      <c r="Y89" s="1354">
        <f t="shared" si="25"/>
        <v>0</v>
      </c>
      <c r="Z89" s="1355"/>
      <c r="AA89" s="1354" t="e">
        <f>#REF!</f>
        <v>#REF!</v>
      </c>
      <c r="AB89" s="1356"/>
      <c r="AC89" s="1361" t="e">
        <f t="shared" ref="AC89:AC97" si="26">Y89-AA89</f>
        <v>#REF!</v>
      </c>
      <c r="AD89" s="1362"/>
      <c r="AE89" s="1363">
        <v>0</v>
      </c>
      <c r="AF89" s="1364"/>
      <c r="AH89" s="278" t="str">
        <f>세입예산서!L89</f>
        <v xml:space="preserve">    - 비지정후원금</v>
      </c>
      <c r="AI89" s="1344">
        <f>세입예산서!X89</f>
        <v>0</v>
      </c>
      <c r="AJ89" s="1345"/>
      <c r="AP89" s="1035" t="s">
        <v>901</v>
      </c>
      <c r="AQ89" s="1036" t="s">
        <v>738</v>
      </c>
      <c r="AR89" s="1037">
        <v>2200000</v>
      </c>
      <c r="AS89" s="1038">
        <f>IF(예산실적비교표!AO89&lt;&gt;"",예산실적비교표!AO89,0)</f>
        <v>0</v>
      </c>
      <c r="AT89" s="971">
        <f t="shared" si="18"/>
        <v>2266000</v>
      </c>
      <c r="AU89" s="1039">
        <f>IF(예산실적비교표!AQ89&lt;&gt;"",예산실적비교표!AQ89,0)</f>
        <v>0</v>
      </c>
      <c r="AV89" s="973">
        <f t="shared" si="19"/>
        <v>188833</v>
      </c>
      <c r="AW89" s="974">
        <f>IF(AR89="",0,ROUND((AT89*$AT$7)*데이터입력!$AF$14+(AT89*$AU$7)*데이터입력!$AF$14+(AT89*$AU$7*$AV$7)*데이터입력!$AF$14+(AT89*$AW$7)*데이터입력!$AF$14+(AT89*$AX$7)*데이터입력!$AF$14,-1))</f>
        <v>317480</v>
      </c>
      <c r="AX89" s="975">
        <f t="shared" si="20"/>
        <v>2772313</v>
      </c>
      <c r="AY89" s="976">
        <f>IFERROR(IF($AE$2=TRUE,IF(AR89+AS89=0,0,AR89+AS89),ROUND(IF(데이터입력!$AF$14=100%,ROUND(AR89*$AR$1,-3),ROUND(AR89*$AR$1,-3)-ROUND(((AR89*$AR$1)*$AT$4)*(데이터입력!$AF$14-100%)+((AR89*$AR$1)*$AU$4)*(데이터입력!$AF$14-100%)+((AR89*$AR$1)*$AU$4*$AV$4)*(데이터입력!$AF$14-100%)+((AR89*$AR$1)*$AW$4)*(데이터입력!$AF$14-100%),-1)),0)),0)</f>
        <v>2199940</v>
      </c>
      <c r="AZ89" s="977">
        <f>IFERROR(IF(AR89+AS89=0,0,IF(데이터입력!$AF$12=100%,(AT89),(AT89)+ROUND(AT89*(데이터입력!$AF$12-100%),-1))),0)</f>
        <v>2266000</v>
      </c>
      <c r="BA89" s="1097">
        <f>IFERROR(IF(AZ89=0,"",IF(AND(예산실적비교표!AP89&gt;0,예산실적비교표!AW89=0),"",ROUND(AZ89/12,0))),"")</f>
        <v>188833</v>
      </c>
      <c r="BB89" s="1096">
        <f>IF(BA89="","",IF(데이터입력!$O$70="",ROUND(AZ89/12,0),ROUND(데이터입력!$O$70/데이터입력!$Y$8/$BC$63,0)))</f>
        <v>188833</v>
      </c>
    </row>
    <row r="90" spans="1:54" ht="17.25" thickBot="1">
      <c r="A90" s="902" t="str">
        <f>IF($AM$1=TRUE,IF(K90="","",SUBTOTAL(2,$K$3:K90)),IF(AND(M90="",N90=""),"",IF(N90="",COUNT($M$3:M90),COUNT($N$3:N90)+200)))</f>
        <v/>
      </c>
      <c r="B90" s="349" t="s">
        <v>49</v>
      </c>
      <c r="C90" s="349" t="s">
        <v>575</v>
      </c>
      <c r="D90" s="348">
        <v>501010602</v>
      </c>
      <c r="E90" s="348" t="s">
        <v>84</v>
      </c>
      <c r="F90" s="348" t="s">
        <v>81</v>
      </c>
      <c r="G90" s="350">
        <f>IFERROR(IF($E90="07",VLOOKUP($B90,예산실적비교표!$X$7:$Z$200,2,FALSE),0),0)</f>
        <v>0</v>
      </c>
      <c r="H90" s="350">
        <f>IFERROR(IF($E90="06",VLOOKUP($C90,세출예산서!$K$3:$X$307,12,FALSE),0),0)</f>
        <v>0</v>
      </c>
      <c r="I90" s="350">
        <f>IFERROR(IF($E90="07",VLOOKUP($C90,세출예산서!$K$3:$X$307,13,FALSE),0),0)</f>
        <v>0</v>
      </c>
      <c r="J90" s="350">
        <f>IFERROR(IF($E90="05",VLOOKUP($C90,세출예산서!$K$3:$X$307,14,FALSE),0),0)</f>
        <v>0</v>
      </c>
      <c r="K90" s="350" t="str">
        <f t="shared" si="11"/>
        <v/>
      </c>
      <c r="L90" s="351">
        <f>IFERROR(IF($AB$2="",0,ROUNDUP(VLOOKUP($B90,예산실적비교표!$X$7:$Z$200,3,FALSE)*$Y$7/($Y$8-(12-$Y$10)),-2)*$Y$8),0)</f>
        <v>0</v>
      </c>
      <c r="M90" s="597" t="str">
        <f>IF($AM$1=TRUE,IF(K90="","",IF(IF($AE$2="",IF(K90="","",SUBTOTAL(2,$K$3:K90)),IF(AND(G90&gt;=0,K90=""),"",IF(AND(G90&gt;0,OR(K90&gt;0,K90&lt;0)),SUBTOTAL(2,$K$3:K90),IF(AND(G90=0,OR(K90&gt;0,K90&lt;0)),SUBTOTAL(2,$K$3:K90)+200,""))))&gt;200,"",1)),IF(K90="","",IF(IF($AE$2="",IF(K90="","",SUBTOTAL(2,$K$3:K90)),IF(AND(G90&gt;=0,K90=""),"",IF(AND(G90&gt;0,OR(K90&gt;0,K90&lt;0)),SUBTOTAL(2,$K$3:K90),IF(AND(G90=0,OR(K90&gt;0,K90&lt;0)),SUBTOTAL(2,$K$3:K90)+200,""))))&gt;200,"",1)))</f>
        <v/>
      </c>
      <c r="N90" s="161" t="str">
        <f>IF($AM$1=TRUE,IF(K90="","",IF(IF($AE$2="",IF(K90="","",SUBTOTAL(2,$K$3:K90)),IF(AND(G90&gt;=0,K90=""),"",IF(AND(G90&gt;0,OR(K90&gt;0,K90&lt;0)),SUBTOTAL(2,$K$3:K90),IF(AND(G90=0,OR(K90&gt;0,K90&lt;0)),SUBTOTAL(2,$K$3:K90)+200,""))))&lt;=200,"",2)),IF(K90="","",IF(IF($AE$2="",IF(K90="","",SUBTOTAL(2,$K$3:K90)),IF(AND(G90&gt;=0,K90=""),"",IF(AND(G90&gt;0,OR(K90&gt;0,K90&lt;0)),SUBTOTAL(2,$K$3:K90),IF(AND(G90=0,OR(K90&gt;0,K90&lt;0)),SUBTOTAL(2,$K$3:K90)+200,""))))&lt;=200,"",2)))</f>
        <v/>
      </c>
      <c r="O90" s="482">
        <v>14400000</v>
      </c>
      <c r="P90" s="364">
        <f>IFERROR(IF($AE$2="추경",IF(VLOOKUP(R90,$B$42:$L$80,6,FALSE)&gt;=VLOOKUP(R90,$B$42:$L$80,11,FALSE),VLOOKUP(R90,$B$42:$L$80,6,FALSE),VLOOKUP(R90,예산평균!$B:$D,3,FALSE)),IF(VLOOKUP(R90,$B$42:$L$80,11,FALSE)&gt;0,IF(VLOOKUP(R90,$B$42:$L$80,6,FALSE)&gt;=VLOOKUP(R90,$B$42:$L$80,11,FALSE),VLOOKUP(R90,$B$42:$L$80,6,FALSE),ROUNDUP(VLOOKUP(R90,$B$42:$L$80,11,FALSE)/U90,-3)*U90),VLOOKUP(R90,예산평균!$B:$D,3,FALSE))),0)</f>
        <v>13518000</v>
      </c>
      <c r="Q90" s="487">
        <v>0</v>
      </c>
      <c r="R90" s="422" t="s">
        <v>65</v>
      </c>
      <c r="S90" s="423" t="s">
        <v>80</v>
      </c>
      <c r="T90" s="358">
        <f t="shared" si="23"/>
        <v>14400000</v>
      </c>
      <c r="U90" s="490">
        <f t="shared" si="24"/>
        <v>12</v>
      </c>
      <c r="V90" s="424" t="s">
        <v>141</v>
      </c>
      <c r="X90" s="426" t="s">
        <v>195</v>
      </c>
      <c r="Y90" s="1354">
        <f t="shared" si="25"/>
        <v>0</v>
      </c>
      <c r="Z90" s="1355"/>
      <c r="AA90" s="1354" t="e">
        <f>#REF!</f>
        <v>#REF!</v>
      </c>
      <c r="AB90" s="1356"/>
      <c r="AC90" s="1361" t="e">
        <f t="shared" si="26"/>
        <v>#REF!</v>
      </c>
      <c r="AD90" s="1362"/>
      <c r="AE90" s="1363">
        <v>0</v>
      </c>
      <c r="AF90" s="1364"/>
      <c r="AH90" s="1139" t="str">
        <f>세입예산서!L90</f>
        <v xml:space="preserve">    - </v>
      </c>
      <c r="AI90" s="1359">
        <f>세입예산서!X90</f>
        <v>0</v>
      </c>
      <c r="AJ90" s="1360"/>
      <c r="AP90" s="1035" t="str">
        <f>IF(예산실적비교표!AL90&lt;&gt;"",예산실적비교표!AL90,"")</f>
        <v/>
      </c>
      <c r="AQ90" s="1036" t="str">
        <f>IF(예산실적비교표!AM90&lt;&gt;"",예산실적비교표!AM90,"")</f>
        <v/>
      </c>
      <c r="AR90" s="1037">
        <f>IF(AND(예산실적비교표!AN90&lt;&gt;"",예산실적비교표!AN90&gt;1),예산실적비교표!AN90,0)</f>
        <v>0</v>
      </c>
      <c r="AS90" s="1038">
        <f>IF(예산실적비교표!AO90&lt;&gt;"",예산실적비교표!AO90,0)</f>
        <v>0</v>
      </c>
      <c r="AT90" s="971">
        <f t="shared" si="18"/>
        <v>0</v>
      </c>
      <c r="AU90" s="1039">
        <f>IF(예산실적비교표!AQ90&lt;&gt;"",예산실적비교표!AQ90,0)</f>
        <v>0</v>
      </c>
      <c r="AV90" s="973">
        <f t="shared" si="19"/>
        <v>0</v>
      </c>
      <c r="AW90" s="974">
        <f>IF(AR90="",0,ROUND((AT90*$AT$7)*데이터입력!$AF$14+(AT90*$AU$7)*데이터입력!$AF$14+(AT90*$AU$7*$AV$7)*데이터입력!$AF$14+(AT90*$AW$7)*데이터입력!$AF$14+(AT90*$AX$7)*데이터입력!$AF$14,-1))</f>
        <v>0</v>
      </c>
      <c r="AX90" s="975">
        <f t="shared" si="20"/>
        <v>0</v>
      </c>
      <c r="AY90" s="976">
        <f>IFERROR(IF($AE$2=TRUE,IF(AR90+AS90=0,0,AR90+AS90),ROUND(IF(데이터입력!$AF$14=100%,ROUND(AR90*$AR$1,-3),ROUND(AR90*$AR$1,-3)-ROUND(((AR90*$AR$1)*$AT$4)*(데이터입력!$AF$14-100%)+((AR90*$AR$1)*$AU$4)*(데이터입력!$AF$14-100%)+((AR90*$AR$1)*$AU$4*$AV$4)*(데이터입력!$AF$14-100%)+((AR90*$AR$1)*$AW$4)*(데이터입력!$AF$14-100%),-1)),0)),0)</f>
        <v>0</v>
      </c>
      <c r="AZ90" s="977">
        <f>IFERROR(IF(AR90+AS90=0,0,IF(데이터입력!$AF$12=100%,(AT90),(AT90)+ROUND(AT90*(데이터입력!$AF$12-100%),-1))),0)</f>
        <v>0</v>
      </c>
      <c r="BA90" s="1097" t="str">
        <f>IFERROR(IF(AZ90=0,"",IF(AND(예산실적비교표!AP90&gt;0,예산실적비교표!AW90=0),"",ROUND(AZ90/12,0))),"")</f>
        <v/>
      </c>
      <c r="BB90" s="1096" t="str">
        <f>IF(BA90="","",IF(데이터입력!$O$70="",ROUND(AZ90/12,0),ROUND(데이터입력!$O$70/데이터입력!$Y$8/$BC$63,0)))</f>
        <v/>
      </c>
    </row>
    <row r="91" spans="1:54" ht="17.25" thickBot="1">
      <c r="A91" s="902" t="str">
        <f>IF($AM$1=TRUE,IF(K91="","",SUBTOTAL(2,$K$3:K91)),IF(AND(M91="",N91=""),"",IF(N91="",COUNT($M$3:M91),COUNT($N$3:N91)+200)))</f>
        <v/>
      </c>
      <c r="B91" s="349" t="s">
        <v>50</v>
      </c>
      <c r="C91" s="349" t="s">
        <v>576</v>
      </c>
      <c r="D91" s="348">
        <v>501020101</v>
      </c>
      <c r="E91" s="348" t="s">
        <v>84</v>
      </c>
      <c r="F91" s="348" t="s">
        <v>81</v>
      </c>
      <c r="G91" s="350">
        <f>IFERROR(IF($E91="07",VLOOKUP($B91,예산실적비교표!$X$7:$Z$200,2,FALSE),0),0)</f>
        <v>0</v>
      </c>
      <c r="H91" s="350">
        <f>IFERROR(IF($E91="06",VLOOKUP($C91,세출예산서!$K$3:$X$307,12,FALSE),0),0)</f>
        <v>0</v>
      </c>
      <c r="I91" s="350">
        <f>IFERROR(IF($E91="07",VLOOKUP($C91,세출예산서!$K$3:$X$307,13,FALSE),0),0)</f>
        <v>0</v>
      </c>
      <c r="J91" s="350">
        <f>IFERROR(IF($E91="05",VLOOKUP($C91,세출예산서!$K$3:$X$307,14,FALSE),0),0)</f>
        <v>0</v>
      </c>
      <c r="K91" s="350" t="str">
        <f t="shared" si="11"/>
        <v/>
      </c>
      <c r="L91" s="351">
        <f>IFERROR(IF($AB$2="",0,ROUNDUP(VLOOKUP($B91,예산실적비교표!$X$7:$Z$200,3,FALSE)*$Y$7/($Y$8-(12-$Y$10)),-2)*$Y$8),0)</f>
        <v>0</v>
      </c>
      <c r="M91" s="597" t="str">
        <f>IF($AM$1=TRUE,IF(K91="","",IF(IF($AE$2="",IF(K91="","",SUBTOTAL(2,$K$3:K91)),IF(AND(G91&gt;=0,K91=""),"",IF(AND(G91&gt;0,OR(K91&gt;0,K91&lt;0)),SUBTOTAL(2,$K$3:K91),IF(AND(G91=0,OR(K91&gt;0,K91&lt;0)),SUBTOTAL(2,$K$3:K91)+200,""))))&gt;200,"",1)),IF(K91="","",IF(IF($AE$2="",IF(K91="","",SUBTOTAL(2,$K$3:K91)),IF(AND(G91&gt;=0,K91=""),"",IF(AND(G91&gt;0,OR(K91&gt;0,K91&lt;0)),SUBTOTAL(2,$K$3:K91),IF(AND(G91=0,OR(K91&gt;0,K91&lt;0)),SUBTOTAL(2,$K$3:K91)+200,""))))&gt;200,"",1)))</f>
        <v/>
      </c>
      <c r="N91" s="161" t="str">
        <f>IF($AM$1=TRUE,IF(K91="","",IF(IF($AE$2="",IF(K91="","",SUBTOTAL(2,$K$3:K91)),IF(AND(G91&gt;=0,K91=""),"",IF(AND(G91&gt;0,OR(K91&gt;0,K91&lt;0)),SUBTOTAL(2,$K$3:K91),IF(AND(G91=0,OR(K91&gt;0,K91&lt;0)),SUBTOTAL(2,$K$3:K91)+200,""))))&lt;=200,"",2)),IF(K91="","",IF(IF($AE$2="",IF(K91="","",SUBTOTAL(2,$K$3:K91)),IF(AND(G91&gt;=0,K91=""),"",IF(AND(G91&gt;0,OR(K91&gt;0,K91&lt;0)),SUBTOTAL(2,$K$3:K91),IF(AND(G91=0,OR(K91&gt;0,K91&lt;0)),SUBTOTAL(2,$K$3:K91)+200,""))))&lt;=200,"",2)))</f>
        <v/>
      </c>
      <c r="O91" s="482"/>
      <c r="P91" s="364">
        <f>IFERROR(IF($AE$2="추경",IF(VLOOKUP(R91,$B$42:$L$80,6,FALSE)&gt;=VLOOKUP(R91,$B$42:$L$80,11,FALSE),VLOOKUP(R91,$B$42:$L$80,6,FALSE),VLOOKUP(R91,예산평균!$B:$D,3,FALSE)),IF(VLOOKUP(R91,$B$42:$L$80,11,FALSE)&gt;0,IF(VLOOKUP(R91,$B$42:$L$80,6,FALSE)&gt;=VLOOKUP(R91,$B$42:$L$80,11,FALSE),VLOOKUP(R91,$B$42:$L$80,6,FALSE),ROUNDUP(VLOOKUP(R91,$B$42:$L$80,11,FALSE)/U91,-3)*U91),VLOOKUP(R91,예산평균!$B:$D,3,FALSE))),0)</f>
        <v>0</v>
      </c>
      <c r="Q91" s="487">
        <v>0</v>
      </c>
      <c r="R91" s="422" t="s">
        <v>131</v>
      </c>
      <c r="S91" s="423" t="s">
        <v>80</v>
      </c>
      <c r="T91" s="358">
        <f t="shared" si="23"/>
        <v>0</v>
      </c>
      <c r="U91" s="490">
        <f t="shared" si="24"/>
        <v>12</v>
      </c>
      <c r="V91" s="360" t="s">
        <v>126</v>
      </c>
      <c r="X91" s="426" t="s">
        <v>196</v>
      </c>
      <c r="Y91" s="1354">
        <f t="shared" si="25"/>
        <v>0</v>
      </c>
      <c r="Z91" s="1355"/>
      <c r="AA91" s="1354" t="e">
        <f>#REF!</f>
        <v>#REF!</v>
      </c>
      <c r="AB91" s="1356"/>
      <c r="AC91" s="1361" t="e">
        <f t="shared" si="26"/>
        <v>#REF!</v>
      </c>
      <c r="AD91" s="1362"/>
      <c r="AE91" s="1363">
        <v>0</v>
      </c>
      <c r="AF91" s="1364"/>
      <c r="AP91" s="1035" t="str">
        <f>IF(예산실적비교표!AL91&lt;&gt;"",예산실적비교표!AL91,"")</f>
        <v/>
      </c>
      <c r="AQ91" s="1036" t="str">
        <f>IF(예산실적비교표!AM91&lt;&gt;"",예산실적비교표!AM91,"")</f>
        <v/>
      </c>
      <c r="AR91" s="1037">
        <f>IF(AND(예산실적비교표!AN91&lt;&gt;"",예산실적비교표!AN91&gt;1),예산실적비교표!AN91,0)</f>
        <v>0</v>
      </c>
      <c r="AS91" s="1038">
        <f>IF(예산실적비교표!AO91&lt;&gt;"",예산실적비교표!AO91,0)</f>
        <v>0</v>
      </c>
      <c r="AT91" s="971">
        <f t="shared" si="18"/>
        <v>0</v>
      </c>
      <c r="AU91" s="1039">
        <f>IF(예산실적비교표!AQ91&lt;&gt;"",예산실적비교표!AQ91,0)</f>
        <v>0</v>
      </c>
      <c r="AV91" s="973">
        <f t="shared" si="19"/>
        <v>0</v>
      </c>
      <c r="AW91" s="974">
        <f>IF(AR91="",0,ROUND((AT91*$AT$7)*데이터입력!$AF$14+(AT91*$AU$7)*데이터입력!$AF$14+(AT91*$AU$7*$AV$7)*데이터입력!$AF$14+(AT91*$AW$7)*데이터입력!$AF$14+(AT91*$AX$7)*데이터입력!$AF$14,-1))</f>
        <v>0</v>
      </c>
      <c r="AX91" s="975">
        <f t="shared" si="20"/>
        <v>0</v>
      </c>
      <c r="AY91" s="976">
        <f>IFERROR(IF($AE$2=TRUE,IF(AR91+AS91=0,0,AR91+AS91),ROUND(IF(데이터입력!$AF$14=100%,ROUND(AR91*$AR$1,-3),ROUND(AR91*$AR$1,-3)-ROUND(((AR91*$AR$1)*$AT$4)*(데이터입력!$AF$14-100%)+((AR91*$AR$1)*$AU$4)*(데이터입력!$AF$14-100%)+((AR91*$AR$1)*$AU$4*$AV$4)*(데이터입력!$AF$14-100%)+((AR91*$AR$1)*$AW$4)*(데이터입력!$AF$14-100%),-1)),0)),0)</f>
        <v>0</v>
      </c>
      <c r="AZ91" s="977">
        <f>IFERROR(IF(AR91+AS91=0,0,IF(데이터입력!$AF$12=100%,(AT91),(AT91)+ROUND(AT91*(데이터입력!$AF$12-100%),-1))),0)</f>
        <v>0</v>
      </c>
      <c r="BA91" s="1097" t="str">
        <f>IFERROR(IF(AZ91=0,"",IF(AND(예산실적비교표!AP91&gt;0,예산실적비교표!AW91=0),"",ROUND(AZ91/12,0))),"")</f>
        <v/>
      </c>
      <c r="BB91" s="1096" t="str">
        <f>IF(BA91="","",IF(데이터입력!$O$70="",ROUND(AZ91/12,0),ROUND(데이터입력!$O$70/데이터입력!$Y$8/$BC$63,0)))</f>
        <v/>
      </c>
    </row>
    <row r="92" spans="1:54" ht="17.25" thickBot="1">
      <c r="A92" s="902" t="str">
        <f>IF($AM$1=TRUE,IF(K92="","",SUBTOTAL(2,$K$3:K92)),IF(AND(M92="",N92=""),"",IF(N92="",COUNT($M$3:M92),COUNT($N$3:N92)+200)))</f>
        <v/>
      </c>
      <c r="B92" s="349" t="s">
        <v>51</v>
      </c>
      <c r="C92" s="349" t="s">
        <v>577</v>
      </c>
      <c r="D92" s="348">
        <v>501020201</v>
      </c>
      <c r="E92" s="348" t="s">
        <v>84</v>
      </c>
      <c r="F92" s="348" t="s">
        <v>81</v>
      </c>
      <c r="G92" s="350">
        <f>IFERROR(IF($E92="07",VLOOKUP($B92,예산실적비교표!$X$7:$Z$200,2,FALSE),0),0)</f>
        <v>0</v>
      </c>
      <c r="H92" s="350">
        <f>IFERROR(IF($E92="06",VLOOKUP($C92,세출예산서!$K$3:$X$307,12,FALSE),0),0)</f>
        <v>0</v>
      </c>
      <c r="I92" s="350">
        <f>IFERROR(IF($E92="07",VLOOKUP($C92,세출예산서!$K$3:$X$307,13,FALSE),0),0)</f>
        <v>0</v>
      </c>
      <c r="J92" s="350">
        <f>IFERROR(IF($E92="05",VLOOKUP($C92,세출예산서!$K$3:$X$307,14,FALSE),0),0)</f>
        <v>0</v>
      </c>
      <c r="K92" s="350" t="str">
        <f t="shared" si="11"/>
        <v/>
      </c>
      <c r="L92" s="351">
        <f>IFERROR(IF($AB$2="",0,ROUNDUP(VLOOKUP($B92,예산실적비교표!$X$7:$Z$200,3,FALSE)*$Y$7/($Y$8-(12-$Y$10)),-2)*$Y$8),0)</f>
        <v>0</v>
      </c>
      <c r="M92" s="597" t="str">
        <f>IF($AM$1=TRUE,IF(K92="","",IF(IF($AE$2="",IF(K92="","",SUBTOTAL(2,$K$3:K92)),IF(AND(G92&gt;=0,K92=""),"",IF(AND(G92&gt;0,OR(K92&gt;0,K92&lt;0)),SUBTOTAL(2,$K$3:K92),IF(AND(G92=0,OR(K92&gt;0,K92&lt;0)),SUBTOTAL(2,$K$3:K92)+200,""))))&gt;200,"",1)),IF(K92="","",IF(IF($AE$2="",IF(K92="","",SUBTOTAL(2,$K$3:K92)),IF(AND(G92&gt;=0,K92=""),"",IF(AND(G92&gt;0,OR(K92&gt;0,K92&lt;0)),SUBTOTAL(2,$K$3:K92),IF(AND(G92=0,OR(K92&gt;0,K92&lt;0)),SUBTOTAL(2,$K$3:K92)+200,""))))&gt;200,"",1)))</f>
        <v/>
      </c>
      <c r="N92" s="161" t="str">
        <f>IF($AM$1=TRUE,IF(K92="","",IF(IF($AE$2="",IF(K92="","",SUBTOTAL(2,$K$3:K92)),IF(AND(G92&gt;=0,K92=""),"",IF(AND(G92&gt;0,OR(K92&gt;0,K92&lt;0)),SUBTOTAL(2,$K$3:K92),IF(AND(G92=0,OR(K92&gt;0,K92&lt;0)),SUBTOTAL(2,$K$3:K92)+200,""))))&lt;=200,"",2)),IF(K92="","",IF(IF($AE$2="",IF(K92="","",SUBTOTAL(2,$K$3:K92)),IF(AND(G92&gt;=0,K92=""),"",IF(AND(G92&gt;0,OR(K92&gt;0,K92&lt;0)),SUBTOTAL(2,$K$3:K92),IF(AND(G92=0,OR(K92&gt;0,K92&lt;0)),SUBTOTAL(2,$K$3:K92)+200,""))))&lt;=200,"",2)))</f>
        <v/>
      </c>
      <c r="O92" s="482"/>
      <c r="P92" s="364">
        <f>IFERROR(IF($AE$2="추경",IF(VLOOKUP(R92,$B$42:$L$80,6,FALSE)&gt;=VLOOKUP(R92,$B$42:$L$80,11,FALSE),VLOOKUP(R92,$B$42:$L$80,6,FALSE),VLOOKUP(R92,예산평균!$B:$D,3,FALSE)),IF(VLOOKUP(R92,$B$42:$L$80,11,FALSE)&gt;0,IF(VLOOKUP(R92,$B$42:$L$80,6,FALSE)&gt;=VLOOKUP(R92,$B$42:$L$80,11,FALSE),VLOOKUP(R92,$B$42:$L$80,6,FALSE),ROUNDUP(VLOOKUP(R92,$B$42:$L$80,11,FALSE)/U92,-3)*U92),VLOOKUP(R92,예산평균!$B:$D,3,FALSE))),0)</f>
        <v>0</v>
      </c>
      <c r="Q92" s="487">
        <v>0</v>
      </c>
      <c r="R92" s="422" t="s">
        <v>132</v>
      </c>
      <c r="S92" s="423" t="s">
        <v>80</v>
      </c>
      <c r="T92" s="358">
        <f t="shared" si="23"/>
        <v>0</v>
      </c>
      <c r="U92" s="490">
        <f t="shared" si="24"/>
        <v>12</v>
      </c>
      <c r="V92" s="360" t="s">
        <v>126</v>
      </c>
      <c r="X92" s="426" t="s">
        <v>197</v>
      </c>
      <c r="Y92" s="1354">
        <f t="shared" si="25"/>
        <v>0</v>
      </c>
      <c r="Z92" s="1355"/>
      <c r="AA92" s="1354" t="e">
        <f>#REF!</f>
        <v>#REF!</v>
      </c>
      <c r="AB92" s="1356"/>
      <c r="AC92" s="1361" t="e">
        <f t="shared" si="26"/>
        <v>#REF!</v>
      </c>
      <c r="AD92" s="1362"/>
      <c r="AE92" s="1363">
        <v>0</v>
      </c>
      <c r="AF92" s="1364"/>
      <c r="AH92" s="548" t="s">
        <v>827</v>
      </c>
      <c r="AI92" s="1342" t="s">
        <v>828</v>
      </c>
      <c r="AJ92" s="1343"/>
      <c r="AP92" s="1035" t="str">
        <f>IF(예산실적비교표!AL92&lt;&gt;"",예산실적비교표!AL92,"")</f>
        <v/>
      </c>
      <c r="AQ92" s="1036" t="str">
        <f>IF(예산실적비교표!AM92&lt;&gt;"",예산실적비교표!AM92,"")</f>
        <v/>
      </c>
      <c r="AR92" s="1037">
        <f>IF(AND(예산실적비교표!AN92&lt;&gt;"",예산실적비교표!AN92&gt;1),예산실적비교표!AN92,0)</f>
        <v>0</v>
      </c>
      <c r="AS92" s="1038">
        <f>IF(예산실적비교표!AO92&lt;&gt;"",예산실적비교표!AO92,0)</f>
        <v>0</v>
      </c>
      <c r="AT92" s="971">
        <f t="shared" si="18"/>
        <v>0</v>
      </c>
      <c r="AU92" s="1039">
        <f>IF(예산실적비교표!AQ92&lt;&gt;"",예산실적비교표!AQ92,0)</f>
        <v>0</v>
      </c>
      <c r="AV92" s="973">
        <f t="shared" si="19"/>
        <v>0</v>
      </c>
      <c r="AW92" s="974">
        <f>IF(AR92="",0,ROUND((AT92*$AT$7)*데이터입력!$AF$14+(AT92*$AU$7)*데이터입력!$AF$14+(AT92*$AU$7*$AV$7)*데이터입력!$AF$14+(AT92*$AW$7)*데이터입력!$AF$14+(AT92*$AX$7)*데이터입력!$AF$14,-1))</f>
        <v>0</v>
      </c>
      <c r="AX92" s="975">
        <f t="shared" si="20"/>
        <v>0</v>
      </c>
      <c r="AY92" s="976">
        <f>IFERROR(IF($AE$2=TRUE,IF(AR92+AS92=0,0,AR92+AS92),ROUND(IF(데이터입력!$AF$14=100%,ROUND(AR92*$AR$1,-3),ROUND(AR92*$AR$1,-3)-ROUND(((AR92*$AR$1)*$AT$4)*(데이터입력!$AF$14-100%)+((AR92*$AR$1)*$AU$4)*(데이터입력!$AF$14-100%)+((AR92*$AR$1)*$AU$4*$AV$4)*(데이터입력!$AF$14-100%)+((AR92*$AR$1)*$AW$4)*(데이터입력!$AF$14-100%),-1)),0)),0)</f>
        <v>0</v>
      </c>
      <c r="AZ92" s="977">
        <f>IFERROR(IF(AR92+AS92=0,0,IF(데이터입력!$AF$12=100%,(AT92),(AT92)+ROUND(AT92*(데이터입력!$AF$12-100%),-1))),0)</f>
        <v>0</v>
      </c>
      <c r="BA92" s="1097" t="str">
        <f>IFERROR(IF(AZ92=0,"",IF(AND(예산실적비교표!AP92&gt;0,예산실적비교표!AW92=0),"",ROUND(AZ92/12,0))),"")</f>
        <v/>
      </c>
      <c r="BB92" s="1096" t="str">
        <f>IF(BA92="","",IF(데이터입력!$O$70="",ROUND(AZ92/12,0),ROUND(데이터입력!$O$70/데이터입력!$Y$8/$BC$63,0)))</f>
        <v/>
      </c>
    </row>
    <row r="93" spans="1:54">
      <c r="A93" s="902" t="str">
        <f>IF($AM$1=TRUE,IF(K93="","",SUBTOTAL(2,$K$3:K93)),IF(AND(M93="",N93=""),"",IF(N93="",COUNT($M$3:M93),COUNT($N$3:N93)+200)))</f>
        <v/>
      </c>
      <c r="B93" s="349" t="s">
        <v>52</v>
      </c>
      <c r="C93" s="349" t="s">
        <v>578</v>
      </c>
      <c r="D93" s="348">
        <v>501020301</v>
      </c>
      <c r="E93" s="348" t="s">
        <v>84</v>
      </c>
      <c r="F93" s="348" t="s">
        <v>81</v>
      </c>
      <c r="G93" s="350">
        <f>IFERROR(IF($E93="07",VLOOKUP($B93,예산실적비교표!$X$7:$Z$200,2,FALSE),0),0)</f>
        <v>0</v>
      </c>
      <c r="H93" s="350">
        <f>IFERROR(IF($E93="06",VLOOKUP($C93,세출예산서!$K$3:$X$307,12,FALSE),0),0)</f>
        <v>0</v>
      </c>
      <c r="I93" s="350">
        <f>IFERROR(IF($E93="07",VLOOKUP($C93,세출예산서!$K$3:$X$307,13,FALSE),0),0)</f>
        <v>0</v>
      </c>
      <c r="J93" s="350">
        <f>IFERROR(IF($E93="05",VLOOKUP($C93,세출예산서!$K$3:$X$307,14,FALSE),0),0)</f>
        <v>0</v>
      </c>
      <c r="K93" s="350" t="str">
        <f t="shared" si="11"/>
        <v/>
      </c>
      <c r="L93" s="351">
        <f>IFERROR(IF($AB$2="",0,ROUNDUP(VLOOKUP($B93,예산실적비교표!$X$7:$Z$200,3,FALSE)*$Y$7/($Y$8-(12-$Y$10)),-2)*$Y$8),0)</f>
        <v>0</v>
      </c>
      <c r="M93" s="597" t="str">
        <f>IF($AM$1=TRUE,IF(K93="","",IF(IF($AE$2="",IF(K93="","",SUBTOTAL(2,$K$3:K93)),IF(AND(G93&gt;=0,K93=""),"",IF(AND(G93&gt;0,OR(K93&gt;0,K93&lt;0)),SUBTOTAL(2,$K$3:K93),IF(AND(G93=0,OR(K93&gt;0,K93&lt;0)),SUBTOTAL(2,$K$3:K93)+200,""))))&gt;200,"",1)),IF(K93="","",IF(IF($AE$2="",IF(K93="","",SUBTOTAL(2,$K$3:K93)),IF(AND(G93&gt;=0,K93=""),"",IF(AND(G93&gt;0,OR(K93&gt;0,K93&lt;0)),SUBTOTAL(2,$K$3:K93),IF(AND(G93=0,OR(K93&gt;0,K93&lt;0)),SUBTOTAL(2,$K$3:K93)+200,""))))&gt;200,"",1)))</f>
        <v/>
      </c>
      <c r="N93" s="161" t="str">
        <f>IF($AM$1=TRUE,IF(K93="","",IF(IF($AE$2="",IF(K93="","",SUBTOTAL(2,$K$3:K93)),IF(AND(G93&gt;=0,K93=""),"",IF(AND(G93&gt;0,OR(K93&gt;0,K93&lt;0)),SUBTOTAL(2,$K$3:K93),IF(AND(G93=0,OR(K93&gt;0,K93&lt;0)),SUBTOTAL(2,$K$3:K93)+200,""))))&lt;=200,"",2)),IF(K93="","",IF(IF($AE$2="",IF(K93="","",SUBTOTAL(2,$K$3:K93)),IF(AND(G93&gt;=0,K93=""),"",IF(AND(G93&gt;0,OR(K93&gt;0,K93&lt;0)),SUBTOTAL(2,$K$3:K93),IF(AND(G93=0,OR(K93&gt;0,K93&lt;0)),SUBTOTAL(2,$K$3:K93)+200,""))))&lt;=200,"",2)))</f>
        <v/>
      </c>
      <c r="O93" s="482"/>
      <c r="P93" s="364">
        <f>IFERROR(IF($AE$2="추경",IF(VLOOKUP(R93,$B$42:$L$80,6,FALSE)&gt;=VLOOKUP(R93,$B$42:$L$80,11,FALSE),VLOOKUP(R93,$B$42:$L$80,6,FALSE),VLOOKUP(R93,예산평균!$B:$D,3,FALSE)),IF(VLOOKUP(R93,$B$42:$L$80,11,FALSE)&gt;0,IF(VLOOKUP(R93,$B$42:$L$80,6,FALSE)&gt;=VLOOKUP(R93,$B$42:$L$80,11,FALSE),VLOOKUP(R93,$B$42:$L$80,6,FALSE),ROUNDUP(VLOOKUP(R93,$B$42:$L$80,11,FALSE)/U93,-4)*U93),VLOOKUP(R93,예산평균!$B:$D,3,FALSE))),0)</f>
        <v>0</v>
      </c>
      <c r="Q93" s="487">
        <v>0</v>
      </c>
      <c r="R93" s="422" t="s">
        <v>66</v>
      </c>
      <c r="S93" s="423" t="s">
        <v>80</v>
      </c>
      <c r="T93" s="358">
        <f t="shared" si="23"/>
        <v>0</v>
      </c>
      <c r="U93" s="490">
        <f t="shared" si="24"/>
        <v>12</v>
      </c>
      <c r="V93" s="360" t="s">
        <v>126</v>
      </c>
      <c r="X93" s="426" t="s">
        <v>198</v>
      </c>
      <c r="Y93" s="1354">
        <f t="shared" si="25"/>
        <v>0</v>
      </c>
      <c r="Z93" s="1355"/>
      <c r="AA93" s="1354" t="e">
        <f>#REF!</f>
        <v>#REF!</v>
      </c>
      <c r="AB93" s="1356"/>
      <c r="AC93" s="1361" t="e">
        <f t="shared" si="26"/>
        <v>#REF!</v>
      </c>
      <c r="AD93" s="1362"/>
      <c r="AE93" s="1363">
        <v>0</v>
      </c>
      <c r="AF93" s="1364"/>
      <c r="AH93" s="294" t="s">
        <v>3</v>
      </c>
      <c r="AI93" s="1344">
        <f>IFERROR(IF($T$101=0,VLOOKUP(AH93,$AD$63:$AE$71,2,FALSE)*$Y$8,0),0)</f>
        <v>0</v>
      </c>
      <c r="AJ93" s="1345"/>
      <c r="AP93" s="1035" t="str">
        <f>IF(예산실적비교표!AL93&lt;&gt;"",예산실적비교표!AL93,"")</f>
        <v/>
      </c>
      <c r="AQ93" s="1036" t="str">
        <f>IF(예산실적비교표!AM93&lt;&gt;"",예산실적비교표!AM93,"")</f>
        <v/>
      </c>
      <c r="AR93" s="1037">
        <f>IF(AND(예산실적비교표!AN93&lt;&gt;"",예산실적비교표!AN93&gt;1),예산실적비교표!AN93,0)</f>
        <v>0</v>
      </c>
      <c r="AS93" s="1038">
        <f>IF(예산실적비교표!AO93&lt;&gt;"",예산실적비교표!AO93,0)</f>
        <v>0</v>
      </c>
      <c r="AT93" s="971">
        <f t="shared" si="18"/>
        <v>0</v>
      </c>
      <c r="AU93" s="1039">
        <f>IF(예산실적비교표!AQ93&lt;&gt;"",예산실적비교표!AQ93,0)</f>
        <v>0</v>
      </c>
      <c r="AV93" s="973">
        <f t="shared" si="19"/>
        <v>0</v>
      </c>
      <c r="AW93" s="974">
        <f>IF(AR93="",0,ROUND((AT93*$AT$7)*데이터입력!$AF$14+(AT93*$AU$7)*데이터입력!$AF$14+(AT93*$AU$7*$AV$7)*데이터입력!$AF$14+(AT93*$AW$7)*데이터입력!$AF$14+(AT93*$AX$7)*데이터입력!$AF$14,-1))</f>
        <v>0</v>
      </c>
      <c r="AX93" s="975">
        <f t="shared" si="20"/>
        <v>0</v>
      </c>
      <c r="AY93" s="976">
        <f>IFERROR(IF($AE$2=TRUE,IF(AR93+AS93=0,0,AR93+AS93),ROUND(IF(데이터입력!$AF$14=100%,ROUND(AR93*$AR$1,-3),ROUND(AR93*$AR$1,-3)-ROUND(((AR93*$AR$1)*$AT$4)*(데이터입력!$AF$14-100%)+((AR93*$AR$1)*$AU$4)*(데이터입력!$AF$14-100%)+((AR93*$AR$1)*$AU$4*$AV$4)*(데이터입력!$AF$14-100%)+((AR93*$AR$1)*$AW$4)*(데이터입력!$AF$14-100%),-1)),0)),0)</f>
        <v>0</v>
      </c>
      <c r="AZ93" s="977">
        <f>IFERROR(IF(AR93+AS93=0,0,IF(데이터입력!$AF$12=100%,(AT93),(AT93)+ROUND(AT93*(데이터입력!$AF$12-100%),-1))),0)</f>
        <v>0</v>
      </c>
      <c r="BA93" s="1097" t="str">
        <f>IFERROR(IF(AZ93=0,"",IF(AND(예산실적비교표!AP93&gt;0,예산실적비교표!AW93=0),"",ROUND(AZ93/12,0))),"")</f>
        <v/>
      </c>
      <c r="BB93" s="1096" t="str">
        <f>IF(BA93="","",IF(데이터입력!$O$70="",ROUND(AZ93/12,0),ROUND(데이터입력!$O$70/데이터입력!$Y$8/$BC$63,0)))</f>
        <v/>
      </c>
    </row>
    <row r="94" spans="1:54">
      <c r="A94" s="902" t="str">
        <f>IF($AM$1=TRUE,IF(K94="","",SUBTOTAL(2,$K$3:K94)),IF(AND(M94="",N94=""),"",IF(N94="",COUNT($M$3:M94),COUNT($N$3:N94)+200)))</f>
        <v/>
      </c>
      <c r="B94" s="349" t="s">
        <v>53</v>
      </c>
      <c r="C94" s="349" t="s">
        <v>579</v>
      </c>
      <c r="D94" s="348">
        <v>501030101</v>
      </c>
      <c r="E94" s="348" t="s">
        <v>84</v>
      </c>
      <c r="F94" s="348" t="s">
        <v>81</v>
      </c>
      <c r="G94" s="350">
        <f>IFERROR(IF($E94="07",VLOOKUP($B94,예산실적비교표!$X$7:$Z$200,2,FALSE),0),0)</f>
        <v>0</v>
      </c>
      <c r="H94" s="350">
        <f>IFERROR(IF($E94="06",VLOOKUP($C94,세출예산서!$K$3:$X$307,12,FALSE),0),0)</f>
        <v>0</v>
      </c>
      <c r="I94" s="350">
        <f>IFERROR(IF($E94="07",VLOOKUP($C94,세출예산서!$K$3:$X$307,13,FALSE),0),0)</f>
        <v>0</v>
      </c>
      <c r="J94" s="350">
        <f>IFERROR(IF($E94="05",VLOOKUP($C94,세출예산서!$K$3:$X$307,14,FALSE),0),0)</f>
        <v>0</v>
      </c>
      <c r="K94" s="350" t="str">
        <f t="shared" si="11"/>
        <v/>
      </c>
      <c r="L94" s="351">
        <f>IFERROR(IF($AB$2="",0,ROUNDUP(VLOOKUP($B94,예산실적비교표!$X$7:$Z$200,3,FALSE)*$Y$7/($Y$8-(12-$Y$10)),-2)*$Y$8),0)</f>
        <v>0</v>
      </c>
      <c r="M94" s="597" t="str">
        <f>IF($AM$1=TRUE,IF(K94="","",IF(IF($AE$2="",IF(K94="","",SUBTOTAL(2,$K$3:K94)),IF(AND(G94&gt;=0,K94=""),"",IF(AND(G94&gt;0,OR(K94&gt;0,K94&lt;0)),SUBTOTAL(2,$K$3:K94),IF(AND(G94=0,OR(K94&gt;0,K94&lt;0)),SUBTOTAL(2,$K$3:K94)+200,""))))&gt;200,"",1)),IF(K94="","",IF(IF($AE$2="",IF(K94="","",SUBTOTAL(2,$K$3:K94)),IF(AND(G94&gt;=0,K94=""),"",IF(AND(G94&gt;0,OR(K94&gt;0,K94&lt;0)),SUBTOTAL(2,$K$3:K94),IF(AND(G94=0,OR(K94&gt;0,K94&lt;0)),SUBTOTAL(2,$K$3:K94)+200,""))))&gt;200,"",1)))</f>
        <v/>
      </c>
      <c r="N94" s="161" t="str">
        <f>IF($AM$1=TRUE,IF(K94="","",IF(IF($AE$2="",IF(K94="","",SUBTOTAL(2,$K$3:K94)),IF(AND(G94&gt;=0,K94=""),"",IF(AND(G94&gt;0,OR(K94&gt;0,K94&lt;0)),SUBTOTAL(2,$K$3:K94),IF(AND(G94=0,OR(K94&gt;0,K94&lt;0)),SUBTOTAL(2,$K$3:K94)+200,""))))&lt;=200,"",2)),IF(K94="","",IF(IF($AE$2="",IF(K94="","",SUBTOTAL(2,$K$3:K94)),IF(AND(G94&gt;=0,K94=""),"",IF(AND(G94&gt;0,OR(K94&gt;0,K94&lt;0)),SUBTOTAL(2,$K$3:K94),IF(AND(G94=0,OR(K94&gt;0,K94&lt;0)),SUBTOTAL(2,$K$3:K94)+200,""))))&lt;=200,"",2)))</f>
        <v/>
      </c>
      <c r="O94" s="483"/>
      <c r="P94" s="364">
        <f>Y20</f>
        <v>177000000</v>
      </c>
      <c r="Q94" s="486"/>
      <c r="R94" s="422" t="s">
        <v>67</v>
      </c>
      <c r="S94" s="423" t="s">
        <v>80</v>
      </c>
      <c r="T94" s="358">
        <f t="shared" si="23"/>
        <v>177000000</v>
      </c>
      <c r="U94" s="490">
        <f t="shared" si="24"/>
        <v>12</v>
      </c>
      <c r="V94" s="424" t="s">
        <v>141</v>
      </c>
      <c r="X94" s="426" t="s">
        <v>199</v>
      </c>
      <c r="Y94" s="1354">
        <f t="shared" si="25"/>
        <v>0</v>
      </c>
      <c r="Z94" s="1355"/>
      <c r="AA94" s="1354" t="e">
        <f>#REF!</f>
        <v>#REF!</v>
      </c>
      <c r="AB94" s="1356"/>
      <c r="AC94" s="1361" t="e">
        <f t="shared" si="26"/>
        <v>#REF!</v>
      </c>
      <c r="AD94" s="1362"/>
      <c r="AE94" s="1363">
        <v>16</v>
      </c>
      <c r="AF94" s="1364"/>
      <c r="AH94" s="279" t="s">
        <v>74</v>
      </c>
      <c r="AI94" s="1346">
        <f>IFERROR(IF($T$102=0,VLOOKUP(AH94,$AD$63:$AE$71,2,FALSE)*$Y$8,0),0)</f>
        <v>0</v>
      </c>
      <c r="AJ94" s="1347"/>
      <c r="AP94" s="1035" t="str">
        <f>IF(예산실적비교표!AL94&lt;&gt;"",예산실적비교표!AL94,"")</f>
        <v/>
      </c>
      <c r="AQ94" s="1036" t="str">
        <f>IF(예산실적비교표!AM94&lt;&gt;"",예산실적비교표!AM94,"")</f>
        <v/>
      </c>
      <c r="AR94" s="1037">
        <f>IF(AND(예산실적비교표!AN94&lt;&gt;"",예산실적비교표!AN94&gt;1),예산실적비교표!AN94,0)</f>
        <v>0</v>
      </c>
      <c r="AS94" s="1038">
        <f>IF(예산실적비교표!AO94&lt;&gt;"",예산실적비교표!AO94,0)</f>
        <v>0</v>
      </c>
      <c r="AT94" s="971">
        <f t="shared" si="18"/>
        <v>0</v>
      </c>
      <c r="AU94" s="1039">
        <f>IF(예산실적비교표!AQ94&lt;&gt;"",예산실적비교표!AQ94,0)</f>
        <v>0</v>
      </c>
      <c r="AV94" s="973">
        <f t="shared" si="19"/>
        <v>0</v>
      </c>
      <c r="AW94" s="974">
        <f>IF(AR94="",0,ROUND((AT94*$AT$7)*데이터입력!$AF$14+(AT94*$AU$7)*데이터입력!$AF$14+(AT94*$AU$7*$AV$7)*데이터입력!$AF$14+(AT94*$AW$7)*데이터입력!$AF$14+(AT94*$AX$7)*데이터입력!$AF$14,-1))</f>
        <v>0</v>
      </c>
      <c r="AX94" s="975">
        <f t="shared" si="20"/>
        <v>0</v>
      </c>
      <c r="AY94" s="976">
        <f>IFERROR(IF($AE$2=TRUE,IF(AR94+AS94=0,0,AR94+AS94),ROUND(IF(데이터입력!$AF$14=100%,ROUND(AR94*$AR$1,-3),ROUND(AR94*$AR$1,-3)-ROUND(((AR94*$AR$1)*$AT$4)*(데이터입력!$AF$14-100%)+((AR94*$AR$1)*$AU$4)*(데이터입력!$AF$14-100%)+((AR94*$AR$1)*$AU$4*$AV$4)*(데이터입력!$AF$14-100%)+((AR94*$AR$1)*$AW$4)*(데이터입력!$AF$14-100%),-1)),0)),0)</f>
        <v>0</v>
      </c>
      <c r="AZ94" s="977">
        <f>IFERROR(IF(AR94+AS94=0,0,IF(데이터입력!$AF$12=100%,(AT94),(AT94)+ROUND(AT94*(데이터입력!$AF$12-100%),-1))),0)</f>
        <v>0</v>
      </c>
      <c r="BA94" s="1097" t="str">
        <f>IFERROR(IF(AZ94=0,"",IF(AND(예산실적비교표!AP94&gt;0,예산실적비교표!AW94=0),"",ROUND(AZ94/12,0))),"")</f>
        <v/>
      </c>
      <c r="BB94" s="1096" t="str">
        <f>IF(BA94="","",IF(데이터입력!$O$70="",ROUND(AZ94/12,0),ROUND(데이터입력!$O$70/데이터입력!$Y$8/$BC$63,0)))</f>
        <v/>
      </c>
    </row>
    <row r="95" spans="1:54">
      <c r="A95" s="902" t="str">
        <f>IF($AM$1=TRUE,IF(K95="","",SUBTOTAL(2,$K$3:K95)),IF(AND(M95="",N95=""),"",IF(N95="",COUNT($M$3:M95),COUNT($N$3:N95)+200)))</f>
        <v/>
      </c>
      <c r="B95" s="349" t="s">
        <v>54</v>
      </c>
      <c r="C95" s="349" t="s">
        <v>580</v>
      </c>
      <c r="D95" s="348">
        <v>501030201</v>
      </c>
      <c r="E95" s="348" t="s">
        <v>84</v>
      </c>
      <c r="F95" s="348" t="s">
        <v>81</v>
      </c>
      <c r="G95" s="350">
        <f>IFERROR(IF($E95="07",VLOOKUP($B95,예산실적비교표!$X$7:$Z$200,2,FALSE),0),0)</f>
        <v>0</v>
      </c>
      <c r="H95" s="350">
        <f>IFERROR(IF($E95="06",VLOOKUP($C95,세출예산서!$K$3:$X$307,12,FALSE),0),0)</f>
        <v>0</v>
      </c>
      <c r="I95" s="350">
        <f>IFERROR(IF($E95="07",VLOOKUP($C95,세출예산서!$K$3:$X$307,13,FALSE),0),0)</f>
        <v>0</v>
      </c>
      <c r="J95" s="350">
        <f>IFERROR(IF($E95="05",VLOOKUP($C95,세출예산서!$K$3:$X$307,14,FALSE),0),0)</f>
        <v>0</v>
      </c>
      <c r="K95" s="350" t="str">
        <f t="shared" si="11"/>
        <v/>
      </c>
      <c r="L95" s="351">
        <f>IFERROR(IF($AB$2="",0,ROUNDUP(VLOOKUP($B95,예산실적비교표!$X$7:$Z$200,3,FALSE)*$Y$7/($Y$8-(12-$Y$10)),-2)*$Y$8),0)</f>
        <v>0</v>
      </c>
      <c r="M95" s="597" t="str">
        <f>IF($AM$1=TRUE,IF(K95="","",IF(IF($AE$2="",IF(K95="","",SUBTOTAL(2,$K$3:K95)),IF(AND(G95&gt;=0,K95=""),"",IF(AND(G95&gt;0,OR(K95&gt;0,K95&lt;0)),SUBTOTAL(2,$K$3:K95),IF(AND(G95=0,OR(K95&gt;0,K95&lt;0)),SUBTOTAL(2,$K$3:K95)+200,""))))&gt;200,"",1)),IF(K95="","",IF(IF($AE$2="",IF(K95="","",SUBTOTAL(2,$K$3:K95)),IF(AND(G95&gt;=0,K95=""),"",IF(AND(G95&gt;0,OR(K95&gt;0,K95&lt;0)),SUBTOTAL(2,$K$3:K95),IF(AND(G95=0,OR(K95&gt;0,K95&lt;0)),SUBTOTAL(2,$K$3:K95)+200,""))))&gt;200,"",1)))</f>
        <v/>
      </c>
      <c r="N95" s="161" t="str">
        <f>IF($AM$1=TRUE,IF(K95="","",IF(IF($AE$2="",IF(K95="","",SUBTOTAL(2,$K$3:K95)),IF(AND(G95&gt;=0,K95=""),"",IF(AND(G95&gt;0,OR(K95&gt;0,K95&lt;0)),SUBTOTAL(2,$K$3:K95),IF(AND(G95=0,OR(K95&gt;0,K95&lt;0)),SUBTOTAL(2,$K$3:K95)+200,""))))&lt;=200,"",2)),IF(K95="","",IF(IF($AE$2="",IF(K95="","",SUBTOTAL(2,$K$3:K95)),IF(AND(G95&gt;=0,K95=""),"",IF(AND(G95&gt;0,OR(K95&gt;0,K95&lt;0)),SUBTOTAL(2,$K$3:K95),IF(AND(G95=0,OR(K95&gt;0,K95&lt;0)),SUBTOTAL(2,$K$3:K95)+200,""))))&lt;=200,"",2)))</f>
        <v/>
      </c>
      <c r="O95" s="482"/>
      <c r="P95" s="364">
        <f>IFERROR(IF($AE$2="추경",IF(VLOOKUP(R95,$B$42:$L$80,6,FALSE)&gt;=VLOOKUP(R95,$B$42:$L$80,11,FALSE),VLOOKUP(R95,$B$42:$L$80,6,FALSE),VLOOKUP(R95,예산평균!$B:$D,3,FALSE)),IF(VLOOKUP(R95,$B$42:$L$80,11,FALSE)&gt;0,IF(VLOOKUP(R95,$B$42:$L$80,6,FALSE)&gt;=VLOOKUP(R95,$B$42:$L$80,11,FALSE),VLOOKUP(R95,$B$42:$L$80,6,FALSE),ROUNDUP(VLOOKUP(R95,$B$42:$L$80,11,FALSE)/U95,-3)*U95),VLOOKUP(R95,예산평균!$B:$D,3,FALSE))),0)</f>
        <v>0</v>
      </c>
      <c r="Q95" s="487">
        <v>0</v>
      </c>
      <c r="R95" s="422" t="s">
        <v>68</v>
      </c>
      <c r="S95" s="423" t="s">
        <v>80</v>
      </c>
      <c r="T95" s="358">
        <f t="shared" si="23"/>
        <v>0</v>
      </c>
      <c r="U95" s="490">
        <f>IF(Q95=0,$Y$8,Q95)</f>
        <v>12</v>
      </c>
      <c r="V95" s="360" t="s">
        <v>126</v>
      </c>
      <c r="X95" s="426" t="s">
        <v>200</v>
      </c>
      <c r="Y95" s="1354">
        <f t="shared" si="25"/>
        <v>0</v>
      </c>
      <c r="Z95" s="1355"/>
      <c r="AA95" s="1354" t="e">
        <f>#REF!</f>
        <v>#REF!</v>
      </c>
      <c r="AB95" s="1356"/>
      <c r="AC95" s="1361" t="e">
        <f t="shared" si="26"/>
        <v>#REF!</v>
      </c>
      <c r="AD95" s="1362"/>
      <c r="AE95" s="1363">
        <v>0</v>
      </c>
      <c r="AF95" s="1364"/>
      <c r="AP95" s="1035" t="str">
        <f>IF(예산실적비교표!AL95&lt;&gt;"",예산실적비교표!AL95,"")</f>
        <v/>
      </c>
      <c r="AQ95" s="1036" t="str">
        <f>IF(예산실적비교표!AM95&lt;&gt;"",예산실적비교표!AM95,"")</f>
        <v/>
      </c>
      <c r="AR95" s="1037">
        <f>IF(AND(예산실적비교표!AN95&lt;&gt;"",예산실적비교표!AN95&gt;1),예산실적비교표!AN95,0)</f>
        <v>0</v>
      </c>
      <c r="AS95" s="1038">
        <f>IF(예산실적비교표!AO95&lt;&gt;"",예산실적비교표!AO95,0)</f>
        <v>0</v>
      </c>
      <c r="AT95" s="971">
        <f t="shared" si="18"/>
        <v>0</v>
      </c>
      <c r="AU95" s="1039">
        <f>IF(예산실적비교표!AQ95&lt;&gt;"",예산실적비교표!AQ95,0)</f>
        <v>0</v>
      </c>
      <c r="AV95" s="973">
        <f t="shared" si="19"/>
        <v>0</v>
      </c>
      <c r="AW95" s="974">
        <f>IF(AR95="",0,ROUND((AT95*$AT$7)*데이터입력!$AF$14+(AT95*$AU$7)*데이터입력!$AF$14+(AT95*$AU$7*$AV$7)*데이터입력!$AF$14+(AT95*$AW$7)*데이터입력!$AF$14+(AT95*$AX$7)*데이터입력!$AF$14,-1))</f>
        <v>0</v>
      </c>
      <c r="AX95" s="975">
        <f t="shared" si="20"/>
        <v>0</v>
      </c>
      <c r="AY95" s="976">
        <f>IFERROR(IF($AE$2=TRUE,IF(AR95+AS95=0,0,AR95+AS95),ROUND(IF(데이터입력!$AF$14=100%,ROUND(AR95*$AR$1,-3),ROUND(AR95*$AR$1,-3)-ROUND(((AR95*$AR$1)*$AT$4)*(데이터입력!$AF$14-100%)+((AR95*$AR$1)*$AU$4)*(데이터입력!$AF$14-100%)+((AR95*$AR$1)*$AU$4*$AV$4)*(데이터입력!$AF$14-100%)+((AR95*$AR$1)*$AW$4)*(데이터입력!$AF$14-100%),-1)),0)),0)</f>
        <v>0</v>
      </c>
      <c r="AZ95" s="977">
        <f>IFERROR(IF(AR95+AS95=0,0,IF(데이터입력!$AF$12=100%,(AT95),(AT95)+ROUND(AT95*(데이터입력!$AF$12-100%),-1))),0)</f>
        <v>0</v>
      </c>
      <c r="BA95" s="1097" t="str">
        <f>IFERROR(IF(AZ95=0,"",IF(AND(예산실적비교표!AP95&gt;0,예산실적비교표!AW95=0),"",ROUND(AZ95/12,0))),"")</f>
        <v/>
      </c>
      <c r="BB95" s="1096" t="str">
        <f>IF(BA95="","",IF(데이터입력!$O$70="",ROUND(AZ95/12,0),ROUND(데이터입력!$O$70/데이터입력!$Y$8/$BC$63,0)))</f>
        <v/>
      </c>
    </row>
    <row r="96" spans="1:54">
      <c r="A96" s="902" t="str">
        <f>IF($AM$1=TRUE,IF(K96="","",SUBTOTAL(2,$K$3:K96)),IF(AND(M96="",N96=""),"",IF(N96="",COUNT($M$3:M96),COUNT($N$3:N96)+200)))</f>
        <v/>
      </c>
      <c r="B96" s="349" t="str">
        <f>R118</f>
        <v>공공요금 및 각종 세금공과금</v>
      </c>
      <c r="C96" s="349" t="str">
        <f>B96&amp;"(보조금)"</f>
        <v>공공요금 및 각종 세금공과금(보조금)</v>
      </c>
      <c r="D96" s="348">
        <v>501030301</v>
      </c>
      <c r="E96" s="348" t="s">
        <v>84</v>
      </c>
      <c r="F96" s="348" t="s">
        <v>81</v>
      </c>
      <c r="G96" s="350">
        <f>IFERROR(IF($E96="07",VLOOKUP($B96,예산실적비교표!$X$7:$Z$200,2,FALSE),0),0)</f>
        <v>0</v>
      </c>
      <c r="H96" s="350">
        <f>IFERROR(IF($E96="06",VLOOKUP($C96,세출예산서!$K$3:$X$307,12,FALSE),0),0)</f>
        <v>0</v>
      </c>
      <c r="I96" s="350">
        <f>IFERROR(IF($E96="07",VLOOKUP($C96,세출예산서!$K$3:$X$307,13,FALSE),0),0)</f>
        <v>0</v>
      </c>
      <c r="J96" s="350">
        <f>IFERROR(IF($E96="05",VLOOKUP($C96,세출예산서!$K$3:$X$307,14,FALSE),0),0)</f>
        <v>0</v>
      </c>
      <c r="K96" s="350" t="str">
        <f t="shared" si="11"/>
        <v/>
      </c>
      <c r="L96" s="351">
        <f>IFERROR(IF($AB$2="",0,ROUNDUP(VLOOKUP($B96,예산실적비교표!$X$7:$Z$200,3,FALSE)*$Y$7/($Y$8-(12-$Y$10)),-2)*$Y$8),0)</f>
        <v>0</v>
      </c>
      <c r="M96" s="597" t="str">
        <f>IF($AM$1=TRUE,IF(K96="","",IF(IF($AE$2="",IF(K96="","",SUBTOTAL(2,$K$3:K96)),IF(AND(G96&gt;=0,K96=""),"",IF(AND(G96&gt;0,OR(K96&gt;0,K96&lt;0)),SUBTOTAL(2,$K$3:K96),IF(AND(G96=0,OR(K96&gt;0,K96&lt;0)),SUBTOTAL(2,$K$3:K96)+200,""))))&gt;200,"",1)),IF(K96="","",IF(IF($AE$2="",IF(K96="","",SUBTOTAL(2,$K$3:K96)),IF(AND(G96&gt;=0,K96=""),"",IF(AND(G96&gt;0,OR(K96&gt;0,K96&lt;0)),SUBTOTAL(2,$K$3:K96),IF(AND(G96=0,OR(K96&gt;0,K96&lt;0)),SUBTOTAL(2,$K$3:K96)+200,""))))&gt;200,"",1)))</f>
        <v/>
      </c>
      <c r="N96" s="161" t="str">
        <f>IF($AM$1=TRUE,IF(K96="","",IF(IF($AE$2="",IF(K96="","",SUBTOTAL(2,$K$3:K96)),IF(AND(G96&gt;=0,K96=""),"",IF(AND(G96&gt;0,OR(K96&gt;0,K96&lt;0)),SUBTOTAL(2,$K$3:K96),IF(AND(G96=0,OR(K96&gt;0,K96&lt;0)),SUBTOTAL(2,$K$3:K96)+200,""))))&lt;=200,"",2)),IF(K96="","",IF(IF($AE$2="",IF(K96="","",SUBTOTAL(2,$K$3:K96)),IF(AND(G96&gt;=0,K96=""),"",IF(AND(G96&gt;0,OR(K96&gt;0,K96&lt;0)),SUBTOTAL(2,$K$3:K96),IF(AND(G96=0,OR(K96&gt;0,K96&lt;0)),SUBTOTAL(2,$K$3:K96)+200,""))))&lt;=200,"",2)))</f>
        <v/>
      </c>
      <c r="O96" s="482"/>
      <c r="P96" s="364">
        <f>IFERROR(H18+H19,0)</f>
        <v>0</v>
      </c>
      <c r="Q96" s="487">
        <v>0</v>
      </c>
      <c r="R96" s="422" t="s">
        <v>69</v>
      </c>
      <c r="S96" s="423" t="s">
        <v>80</v>
      </c>
      <c r="T96" s="358">
        <f t="shared" si="23"/>
        <v>0</v>
      </c>
      <c r="U96" s="490">
        <f>IF(Q96=0,$Y$8,Q96)</f>
        <v>12</v>
      </c>
      <c r="V96" s="360" t="s">
        <v>126</v>
      </c>
      <c r="X96" s="426" t="s">
        <v>201</v>
      </c>
      <c r="Y96" s="1354">
        <f t="shared" si="25"/>
        <v>0</v>
      </c>
      <c r="Z96" s="1355"/>
      <c r="AA96" s="1354" t="e">
        <f>#REF!</f>
        <v>#REF!</v>
      </c>
      <c r="AB96" s="1356"/>
      <c r="AC96" s="1361" t="e">
        <f t="shared" si="26"/>
        <v>#REF!</v>
      </c>
      <c r="AD96" s="1362"/>
      <c r="AE96" s="1363">
        <v>-480</v>
      </c>
      <c r="AF96" s="1364"/>
      <c r="AP96" s="1035" t="str">
        <f>IF(예산실적비교표!AL96&lt;&gt;"",예산실적비교표!AL96,"")</f>
        <v/>
      </c>
      <c r="AQ96" s="1036" t="str">
        <f>IF(예산실적비교표!AM96&lt;&gt;"",예산실적비교표!AM96,"")</f>
        <v/>
      </c>
      <c r="AR96" s="1037">
        <f>IF(AND(예산실적비교표!AN96&lt;&gt;"",예산실적비교표!AN96&gt;1),예산실적비교표!AN96,0)</f>
        <v>0</v>
      </c>
      <c r="AS96" s="1038">
        <f>IF(예산실적비교표!AO96&lt;&gt;"",예산실적비교표!AO96,0)</f>
        <v>0</v>
      </c>
      <c r="AT96" s="971">
        <f t="shared" si="18"/>
        <v>0</v>
      </c>
      <c r="AU96" s="1039">
        <f>IF(예산실적비교표!AQ96&lt;&gt;"",예산실적비교표!AQ96,0)</f>
        <v>0</v>
      </c>
      <c r="AV96" s="973">
        <f t="shared" si="19"/>
        <v>0</v>
      </c>
      <c r="AW96" s="974">
        <f>IF(AR96="",0,ROUND((AT96*$AT$7)*데이터입력!$AF$14+(AT96*$AU$7)*데이터입력!$AF$14+(AT96*$AU$7*$AV$7)*데이터입력!$AF$14+(AT96*$AW$7)*데이터입력!$AF$14+(AT96*$AX$7)*데이터입력!$AF$14,-1))</f>
        <v>0</v>
      </c>
      <c r="AX96" s="975">
        <f t="shared" si="20"/>
        <v>0</v>
      </c>
      <c r="AY96" s="976">
        <f>IFERROR(IF($AE$2=TRUE,IF(AR96+AS96=0,0,AR96+AS96),ROUND(IF(데이터입력!$AF$14=100%,ROUND(AR96*$AR$1,-3),ROUND(AR96*$AR$1,-3)-ROUND(((AR96*$AR$1)*$AT$4)*(데이터입력!$AF$14-100%)+((AR96*$AR$1)*$AU$4)*(데이터입력!$AF$14-100%)+((AR96*$AR$1)*$AU$4*$AV$4)*(데이터입력!$AF$14-100%)+((AR96*$AR$1)*$AW$4)*(데이터입력!$AF$14-100%),-1)),0)),0)</f>
        <v>0</v>
      </c>
      <c r="AZ96" s="977">
        <f>IFERROR(IF(AR96+AS96=0,0,IF(데이터입력!$AF$12=100%,(AT96),(AT96)+ROUND(AT96*(데이터입력!$AF$12-100%),-1))),0)</f>
        <v>0</v>
      </c>
      <c r="BA96" s="1097" t="str">
        <f>IFERROR(IF(AZ96=0,"",IF(AND(예산실적비교표!AP96&gt;0,예산실적비교표!AW96=0),"",ROUND(AZ96/12,0))),"")</f>
        <v/>
      </c>
      <c r="BB96" s="1096" t="str">
        <f>IF(BA96="","",IF(데이터입력!$O$70="",ROUND(AZ96/12,0),ROUND(데이터입력!$O$70/데이터입력!$Y$8/$BC$63,0)))</f>
        <v/>
      </c>
    </row>
    <row r="97" spans="1:54" ht="17.25" thickBot="1">
      <c r="A97" s="902" t="str">
        <f>IF($AM$1=TRUE,IF(K97="","",SUBTOTAL(2,$K$3:K97)),IF(AND(M97="",N97=""),"",IF(N97="",COUNT($M$3:M97),COUNT($N$3:N97)+200)))</f>
        <v/>
      </c>
      <c r="B97" s="349" t="s">
        <v>55</v>
      </c>
      <c r="C97" s="349" t="s">
        <v>581</v>
      </c>
      <c r="D97" s="348">
        <v>501030501</v>
      </c>
      <c r="E97" s="348" t="s">
        <v>84</v>
      </c>
      <c r="F97" s="348" t="s">
        <v>81</v>
      </c>
      <c r="G97" s="350">
        <f>IFERROR(IF($E97="07",VLOOKUP($B97,예산실적비교표!$X$7:$Z$200,2,FALSE),0),0)</f>
        <v>0</v>
      </c>
      <c r="H97" s="350">
        <f>IFERROR(IF($E97="06",VLOOKUP($C97,세출예산서!$K$3:$X$307,12,FALSE),0),0)</f>
        <v>0</v>
      </c>
      <c r="I97" s="350">
        <f>IFERROR(IF($E97="07",VLOOKUP($C97,세출예산서!$K$3:$X$307,13,FALSE),0),0)</f>
        <v>0</v>
      </c>
      <c r="J97" s="350">
        <f>IFERROR(IF($E97="05",VLOOKUP($C97,세출예산서!$K$3:$X$307,14,FALSE),0),0)</f>
        <v>0</v>
      </c>
      <c r="K97" s="350" t="str">
        <f t="shared" si="11"/>
        <v/>
      </c>
      <c r="L97" s="351">
        <f>IFERROR(IF($AB$2="",0,ROUNDUP(VLOOKUP($B97,예산실적비교표!$X$7:$Z$200,3,FALSE)*$Y$7/($Y$8-(12-$Y$10)),-2)*$Y$8),0)</f>
        <v>0</v>
      </c>
      <c r="M97" s="597" t="str">
        <f>IF($AM$1=TRUE,IF(K97="","",IF(IF($AE$2="",IF(K97="","",SUBTOTAL(2,$K$3:K97)),IF(AND(G97&gt;=0,K97=""),"",IF(AND(G97&gt;0,OR(K97&gt;0,K97&lt;0)),SUBTOTAL(2,$K$3:K97),IF(AND(G97=0,OR(K97&gt;0,K97&lt;0)),SUBTOTAL(2,$K$3:K97)+200,""))))&gt;200,"",1)),IF(K97="","",IF(IF($AE$2="",IF(K97="","",SUBTOTAL(2,$K$3:K97)),IF(AND(G97&gt;=0,K97=""),"",IF(AND(G97&gt;0,OR(K97&gt;0,K97&lt;0)),SUBTOTAL(2,$K$3:K97),IF(AND(G97=0,OR(K97&gt;0,K97&lt;0)),SUBTOTAL(2,$K$3:K97)+200,""))))&gt;200,"",1)))</f>
        <v/>
      </c>
      <c r="N97" s="161" t="str">
        <f>IF($AM$1=TRUE,IF(K97="","",IF(IF($AE$2="",IF(K97="","",SUBTOTAL(2,$K$3:K97)),IF(AND(G97&gt;=0,K97=""),"",IF(AND(G97&gt;0,OR(K97&gt;0,K97&lt;0)),SUBTOTAL(2,$K$3:K97),IF(AND(G97=0,OR(K97&gt;0,K97&lt;0)),SUBTOTAL(2,$K$3:K97)+200,""))))&lt;=200,"",2)),IF(K97="","",IF(IF($AE$2="",IF(K97="","",SUBTOTAL(2,$K$3:K97)),IF(AND(G97&gt;=0,K97=""),"",IF(AND(G97&gt;0,OR(K97&gt;0,K97&lt;0)),SUBTOTAL(2,$K$3:K97),IF(AND(G97=0,OR(K97&gt;0,K97&lt;0)),SUBTOTAL(2,$K$3:K97)+200,""))))&lt;=200,"",2)))</f>
        <v/>
      </c>
      <c r="O97" s="482"/>
      <c r="P97" s="364">
        <f>IFERROR(IF($AE$2="추경",IF(VLOOKUP(R97,$B$42:$L$80,6,FALSE)&gt;=VLOOKUP(R97,$B$42:$L$80,11,FALSE),VLOOKUP(R97,$B$42:$L$80,6,FALSE),ROUNDUP(VLOOKUP(R97,$B$42:$L$80,11,FALSE),-4)),0),0)</f>
        <v>0</v>
      </c>
      <c r="Q97" s="487">
        <v>0</v>
      </c>
      <c r="R97" s="422" t="s">
        <v>70</v>
      </c>
      <c r="S97" s="423" t="s">
        <v>80</v>
      </c>
      <c r="T97" s="358">
        <f t="shared" si="23"/>
        <v>0</v>
      </c>
      <c r="U97" s="490">
        <f>IF(Q97=0,$Y$8,Q97)</f>
        <v>12</v>
      </c>
      <c r="V97" s="360" t="s">
        <v>126</v>
      </c>
      <c r="X97" s="427" t="s">
        <v>202</v>
      </c>
      <c r="Y97" s="1354">
        <f t="shared" si="25"/>
        <v>0</v>
      </c>
      <c r="Z97" s="1355"/>
      <c r="AA97" s="1354" t="e">
        <f>#REF!</f>
        <v>#REF!</v>
      </c>
      <c r="AB97" s="1356"/>
      <c r="AC97" s="1361" t="e">
        <f t="shared" si="26"/>
        <v>#REF!</v>
      </c>
      <c r="AD97" s="1362"/>
      <c r="AE97" s="1363">
        <v>-40</v>
      </c>
      <c r="AF97" s="1364"/>
      <c r="AP97" s="1035" t="str">
        <f>IF(예산실적비교표!AL97&lt;&gt;"",예산실적비교표!AL97,"")</f>
        <v/>
      </c>
      <c r="AQ97" s="1036" t="str">
        <f>IF(예산실적비교표!AM97&lt;&gt;"",예산실적비교표!AM97,"")</f>
        <v/>
      </c>
      <c r="AR97" s="1037">
        <f>IF(AND(예산실적비교표!AN97&lt;&gt;"",예산실적비교표!AN97&gt;1),예산실적비교표!AN97,0)</f>
        <v>0</v>
      </c>
      <c r="AS97" s="1038">
        <f>IF(예산실적비교표!AO97&lt;&gt;"",예산실적비교표!AO97,0)</f>
        <v>0</v>
      </c>
      <c r="AT97" s="971">
        <f t="shared" si="18"/>
        <v>0</v>
      </c>
      <c r="AU97" s="1039">
        <f>IF(예산실적비교표!AQ97&lt;&gt;"",예산실적비교표!AQ97,0)</f>
        <v>0</v>
      </c>
      <c r="AV97" s="973">
        <f t="shared" si="19"/>
        <v>0</v>
      </c>
      <c r="AW97" s="974">
        <f>IF(AR97="",0,ROUND((AT97*$AT$7)*데이터입력!$AF$14+(AT97*$AU$7)*데이터입력!$AF$14+(AT97*$AU$7*$AV$7)*데이터입력!$AF$14+(AT97*$AW$7)*데이터입력!$AF$14+(AT97*$AX$7)*데이터입력!$AF$14,-1))</f>
        <v>0</v>
      </c>
      <c r="AX97" s="975">
        <f t="shared" si="20"/>
        <v>0</v>
      </c>
      <c r="AY97" s="976">
        <f>IFERROR(IF($AE$2=TRUE,IF(AR97+AS97=0,0,AR97+AS97),ROUND(IF(데이터입력!$AF$14=100%,ROUND(AR97*$AR$1,-3),ROUND(AR97*$AR$1,-3)-ROUND(((AR97*$AR$1)*$AT$4)*(데이터입력!$AF$14-100%)+((AR97*$AR$1)*$AU$4)*(데이터입력!$AF$14-100%)+((AR97*$AR$1)*$AU$4*$AV$4)*(데이터입력!$AF$14-100%)+((AR97*$AR$1)*$AW$4)*(데이터입력!$AF$14-100%),-1)),0)),0)</f>
        <v>0</v>
      </c>
      <c r="AZ97" s="977">
        <f>IFERROR(IF(AR97+AS97=0,0,IF(데이터입력!$AF$12=100%,(AT97),(AT97)+ROUND(AT97*(데이터입력!$AF$12-100%),-1))),0)</f>
        <v>0</v>
      </c>
      <c r="BA97" s="1097" t="str">
        <f>IFERROR(IF(AZ97=0,"",IF(AND(예산실적비교표!AP97&gt;0,예산실적비교표!AW97=0),"",ROUND(AZ97/12,0))),"")</f>
        <v/>
      </c>
      <c r="BB97" s="1096" t="str">
        <f>IF(BA97="","",IF(데이터입력!$O$70="",ROUND(AZ97/12,0),ROUND(데이터입력!$O$70/데이터입력!$Y$8/$BC$63,0)))</f>
        <v/>
      </c>
    </row>
    <row r="98" spans="1:54" ht="17.25" thickBot="1">
      <c r="A98" s="902" t="str">
        <f>IF($AM$1=TRUE,IF(K98="","",SUBTOTAL(2,$K$3:K98)),IF(AND(M98="",N98=""),"",IF(N98="",COUNT($M$3:M98),COUNT($N$3:N98)+200)))</f>
        <v/>
      </c>
      <c r="B98" s="349" t="s">
        <v>56</v>
      </c>
      <c r="C98" s="349" t="s">
        <v>582</v>
      </c>
      <c r="D98" s="348">
        <v>501030601</v>
      </c>
      <c r="E98" s="348" t="s">
        <v>84</v>
      </c>
      <c r="F98" s="348" t="s">
        <v>81</v>
      </c>
      <c r="G98" s="350">
        <f>IFERROR(IF($E98="07",VLOOKUP($B98,예산실적비교표!$X$7:$Z$200,2,FALSE),0),0)</f>
        <v>0</v>
      </c>
      <c r="H98" s="350">
        <f>IFERROR(IF($E98="06",VLOOKUP($C98,세출예산서!$K$3:$X$307,12,FALSE),0),0)</f>
        <v>0</v>
      </c>
      <c r="I98" s="350">
        <f>IFERROR(IF($E98="07",VLOOKUP($C98,세출예산서!$K$3:$X$307,13,FALSE),0),0)</f>
        <v>0</v>
      </c>
      <c r="J98" s="350">
        <f>IFERROR(IF($E98="05",VLOOKUP($C98,세출예산서!$K$3:$X$307,14,FALSE),0),0)</f>
        <v>0</v>
      </c>
      <c r="K98" s="350" t="str">
        <f t="shared" si="11"/>
        <v/>
      </c>
      <c r="L98" s="351">
        <f>IFERROR(IF($AB$2="",0,ROUNDUP(VLOOKUP($B98,예산실적비교표!$X$7:$Z$200,3,FALSE)*$Y$7/($Y$8-(12-$Y$10)),-2)*$Y$8),0)</f>
        <v>0</v>
      </c>
      <c r="M98" s="597" t="str">
        <f>IF($AM$1=TRUE,IF(K98="","",IF(IF($AE$2="",IF(K98="","",SUBTOTAL(2,$K$3:K98)),IF(AND(G98&gt;=0,K98=""),"",IF(AND(G98&gt;0,OR(K98&gt;0,K98&lt;0)),SUBTOTAL(2,$K$3:K98),IF(AND(G98=0,OR(K98&gt;0,K98&lt;0)),SUBTOTAL(2,$K$3:K98)+200,""))))&gt;200,"",1)),IF(K98="","",IF(IF($AE$2="",IF(K98="","",SUBTOTAL(2,$K$3:K98)),IF(AND(G98&gt;=0,K98=""),"",IF(AND(G98&gt;0,OR(K98&gt;0,K98&lt;0)),SUBTOTAL(2,$K$3:K98),IF(AND(G98=0,OR(K98&gt;0,K98&lt;0)),SUBTOTAL(2,$K$3:K98)+200,""))))&gt;200,"",1)))</f>
        <v/>
      </c>
      <c r="N98" s="161" t="str">
        <f>IF($AM$1=TRUE,IF(K98="","",IF(IF($AE$2="",IF(K98="","",SUBTOTAL(2,$K$3:K98)),IF(AND(G98&gt;=0,K98=""),"",IF(AND(G98&gt;0,OR(K98&gt;0,K98&lt;0)),SUBTOTAL(2,$K$3:K98),IF(AND(G98=0,OR(K98&gt;0,K98&lt;0)),SUBTOTAL(2,$K$3:K98)+200,""))))&lt;=200,"",2)),IF(K98="","",IF(IF($AE$2="",IF(K98="","",SUBTOTAL(2,$K$3:K98)),IF(AND(G98&gt;=0,K98=""),"",IF(AND(G98&gt;0,OR(K98&gt;0,K98&lt;0)),SUBTOTAL(2,$K$3:K98),IF(AND(G98=0,OR(K98&gt;0,K98&lt;0)),SUBTOTAL(2,$K$3:K98)+200,""))))&lt;=200,"",2)))</f>
        <v/>
      </c>
      <c r="O98" s="483"/>
      <c r="P98" s="364">
        <f>Y21</f>
        <v>1087016977</v>
      </c>
      <c r="Q98" s="486"/>
      <c r="R98" s="422" t="s">
        <v>71</v>
      </c>
      <c r="S98" s="423" t="s">
        <v>80</v>
      </c>
      <c r="T98" s="358">
        <f t="shared" si="23"/>
        <v>1087016977</v>
      </c>
      <c r="U98" s="492"/>
      <c r="V98" s="424" t="s">
        <v>129</v>
      </c>
      <c r="X98" s="428"/>
      <c r="Y98" s="429"/>
      <c r="Z98" s="429"/>
      <c r="AA98" s="429"/>
      <c r="AB98" s="429"/>
      <c r="AC98" s="429"/>
      <c r="AD98" s="429"/>
      <c r="AE98" s="429"/>
      <c r="AF98" s="430"/>
      <c r="AP98" s="1035" t="str">
        <f>IF(예산실적비교표!AL98&lt;&gt;"",예산실적비교표!AL98,"")</f>
        <v/>
      </c>
      <c r="AQ98" s="1036" t="str">
        <f>IF(예산실적비교표!AM98&lt;&gt;"",예산실적비교표!AM98,"")</f>
        <v/>
      </c>
      <c r="AR98" s="1037">
        <f>IF(AND(예산실적비교표!AN98&lt;&gt;"",예산실적비교표!AN98&gt;1),예산실적비교표!AN98,0)</f>
        <v>0</v>
      </c>
      <c r="AS98" s="1038">
        <f>IF(예산실적비교표!AO98&lt;&gt;"",예산실적비교표!AO98,0)</f>
        <v>0</v>
      </c>
      <c r="AT98" s="971">
        <f t="shared" si="18"/>
        <v>0</v>
      </c>
      <c r="AU98" s="1039">
        <f>IF(예산실적비교표!AQ98&lt;&gt;"",예산실적비교표!AQ98,0)</f>
        <v>0</v>
      </c>
      <c r="AV98" s="973">
        <f t="shared" si="19"/>
        <v>0</v>
      </c>
      <c r="AW98" s="974">
        <f>IF(AR98="",0,ROUND((AT98*$AT$7)*데이터입력!$AF$14+(AT98*$AU$7)*데이터입력!$AF$14+(AT98*$AU$7*$AV$7)*데이터입력!$AF$14+(AT98*$AW$7)*데이터입력!$AF$14+(AT98*$AX$7)*데이터입력!$AF$14,-1))</f>
        <v>0</v>
      </c>
      <c r="AX98" s="975">
        <f t="shared" si="20"/>
        <v>0</v>
      </c>
      <c r="AY98" s="976">
        <f>IFERROR(IF($AE$2=TRUE,IF(AR98+AS98=0,0,AR98+AS98),ROUND(IF(데이터입력!$AF$14=100%,ROUND(AR98*$AR$1,-3),ROUND(AR98*$AR$1,-3)-ROUND(((AR98*$AR$1)*$AT$4)*(데이터입력!$AF$14-100%)+((AR98*$AR$1)*$AU$4)*(데이터입력!$AF$14-100%)+((AR98*$AR$1)*$AU$4*$AV$4)*(데이터입력!$AF$14-100%)+((AR98*$AR$1)*$AW$4)*(데이터입력!$AF$14-100%),-1)),0)),0)</f>
        <v>0</v>
      </c>
      <c r="AZ98" s="977">
        <f>IFERROR(IF(AR98+AS98=0,0,IF(데이터입력!$AF$12=100%,(AT98),(AT98)+ROUND(AT98*(데이터입력!$AF$12-100%),-1))),0)</f>
        <v>0</v>
      </c>
      <c r="BA98" s="1097" t="str">
        <f>IFERROR(IF(AZ98=0,"",IF(AND(예산실적비교표!AP98&gt;0,예산실적비교표!AW98=0),"",ROUND(AZ98/12,0))),"")</f>
        <v/>
      </c>
      <c r="BB98" s="1096" t="str">
        <f>IF(BA98="","",IF(데이터입력!$O$70="",ROUND(AZ98/12,0),ROUND(데이터입력!$O$70/데이터입력!$Y$8/$BC$63,0)))</f>
        <v/>
      </c>
    </row>
    <row r="99" spans="1:54" ht="17.25" thickBot="1">
      <c r="A99" s="902" t="str">
        <f>IF($AM$1=TRUE,IF(K99="","",SUBTOTAL(2,$K$3:K99)),IF(AND(M99="",N99=""),"",IF(N99="",COUNT($M$3:M99),COUNT($N$3:N99)+200)))</f>
        <v/>
      </c>
      <c r="B99" s="349" t="s">
        <v>57</v>
      </c>
      <c r="C99" s="349" t="s">
        <v>583</v>
      </c>
      <c r="D99" s="348">
        <v>501030701</v>
      </c>
      <c r="E99" s="348" t="s">
        <v>84</v>
      </c>
      <c r="F99" s="348" t="s">
        <v>81</v>
      </c>
      <c r="G99" s="350">
        <f>IFERROR(IF($E99="07",VLOOKUP($B99,예산실적비교표!$X$7:$Z$200,2,FALSE),0),0)</f>
        <v>0</v>
      </c>
      <c r="H99" s="350">
        <f>IFERROR(IF($E99="06",VLOOKUP($C99,세출예산서!$K$3:$X$307,12,FALSE),0),0)</f>
        <v>0</v>
      </c>
      <c r="I99" s="350">
        <f>IFERROR(IF($E99="07",VLOOKUP($C99,세출예산서!$K$3:$X$307,13,FALSE),0),0)</f>
        <v>0</v>
      </c>
      <c r="J99" s="350">
        <f>IFERROR(IF($E99="05",VLOOKUP($C99,세출예산서!$K$3:$X$307,14,FALSE),0),0)</f>
        <v>0</v>
      </c>
      <c r="K99" s="350" t="str">
        <f t="shared" si="11"/>
        <v/>
      </c>
      <c r="L99" s="351">
        <f>IFERROR(IF($AB$2="",0,ROUNDUP(VLOOKUP($B99,예산실적비교표!$X$7:$Z$200,3,FALSE)*$Y$7/($Y$8-(12-$Y$10)),-2)*$Y$8),0)</f>
        <v>0</v>
      </c>
      <c r="M99" s="597" t="str">
        <f>IF($AM$1=TRUE,IF(K99="","",IF(IF($AE$2="",IF(K99="","",SUBTOTAL(2,$K$3:K99)),IF(AND(G99&gt;=0,K99=""),"",IF(AND(G99&gt;0,OR(K99&gt;0,K99&lt;0)),SUBTOTAL(2,$K$3:K99),IF(AND(G99=0,OR(K99&gt;0,K99&lt;0)),SUBTOTAL(2,$K$3:K99)+200,""))))&gt;200,"",1)),IF(K99="","",IF(IF($AE$2="",IF(K99="","",SUBTOTAL(2,$K$3:K99)),IF(AND(G99&gt;=0,K99=""),"",IF(AND(G99&gt;0,OR(K99&gt;0,K99&lt;0)),SUBTOTAL(2,$K$3:K99),IF(AND(G99=0,OR(K99&gt;0,K99&lt;0)),SUBTOTAL(2,$K$3:K99)+200,""))))&gt;200,"",1)))</f>
        <v/>
      </c>
      <c r="N99" s="161" t="str">
        <f>IF($AM$1=TRUE,IF(K99="","",IF(IF($AE$2="",IF(K99="","",SUBTOTAL(2,$K$3:K99)),IF(AND(G99&gt;=0,K99=""),"",IF(AND(G99&gt;0,OR(K99&gt;0,K99&lt;0)),SUBTOTAL(2,$K$3:K99),IF(AND(G99=0,OR(K99&gt;0,K99&lt;0)),SUBTOTAL(2,$K$3:K99)+200,""))))&lt;=200,"",2)),IF(K99="","",IF(IF($AE$2="",IF(K99="","",SUBTOTAL(2,$K$3:K99)),IF(AND(G99&gt;=0,K99=""),"",IF(AND(G99&gt;0,OR(K99&gt;0,K99&lt;0)),SUBTOTAL(2,$K$3:K99),IF(AND(G99=0,OR(K99&gt;0,K99&lt;0)),SUBTOTAL(2,$K$3:K99)+200,""))))&lt;=200,"",2)))</f>
        <v/>
      </c>
      <c r="O99" s="483"/>
      <c r="P99" s="364">
        <f>Y22</f>
        <v>2000000</v>
      </c>
      <c r="Q99" s="486"/>
      <c r="R99" s="422" t="s">
        <v>72</v>
      </c>
      <c r="S99" s="423" t="s">
        <v>80</v>
      </c>
      <c r="T99" s="358">
        <f t="shared" si="23"/>
        <v>2000000</v>
      </c>
      <c r="U99" s="492"/>
      <c r="V99" s="424" t="s">
        <v>145</v>
      </c>
      <c r="X99" s="431" t="s">
        <v>203</v>
      </c>
      <c r="Y99" s="1368" t="s">
        <v>204</v>
      </c>
      <c r="Z99" s="1388"/>
      <c r="AA99" s="1368" t="s">
        <v>205</v>
      </c>
      <c r="AB99" s="1369"/>
      <c r="AC99" s="1370" t="s">
        <v>206</v>
      </c>
      <c r="AD99" s="1371"/>
      <c r="AE99" s="1370" t="s">
        <v>207</v>
      </c>
      <c r="AF99" s="1371"/>
      <c r="AP99" s="1035" t="str">
        <f>IF(예산실적비교표!AL99&lt;&gt;"",예산실적비교표!AL99,"")</f>
        <v/>
      </c>
      <c r="AQ99" s="1036" t="str">
        <f>IF(예산실적비교표!AM99&lt;&gt;"",예산실적비교표!AM99,"")</f>
        <v/>
      </c>
      <c r="AR99" s="1037">
        <f>IF(AND(예산실적비교표!AN99&lt;&gt;"",예산실적비교표!AN99&gt;1),예산실적비교표!AN99,0)</f>
        <v>0</v>
      </c>
      <c r="AS99" s="1038">
        <f>IF(예산실적비교표!AO99&lt;&gt;"",예산실적비교표!AO99,0)</f>
        <v>0</v>
      </c>
      <c r="AT99" s="971">
        <f t="shared" si="18"/>
        <v>0</v>
      </c>
      <c r="AU99" s="1039">
        <f>IF(예산실적비교표!AQ99&lt;&gt;"",예산실적비교표!AQ99,0)</f>
        <v>0</v>
      </c>
      <c r="AV99" s="973">
        <f t="shared" si="19"/>
        <v>0</v>
      </c>
      <c r="AW99" s="974">
        <f>IF(AR99="",0,ROUND((AT99*$AT$7)*데이터입력!$AF$14+(AT99*$AU$7)*데이터입력!$AF$14+(AT99*$AU$7*$AV$7)*데이터입력!$AF$14+(AT99*$AW$7)*데이터입력!$AF$14+(AT99*$AX$7)*데이터입력!$AF$14,-1))</f>
        <v>0</v>
      </c>
      <c r="AX99" s="975">
        <f t="shared" si="20"/>
        <v>0</v>
      </c>
      <c r="AY99" s="976">
        <f>IFERROR(IF($AE$2=TRUE,IF(AR99+AS99=0,0,AR99+AS99),ROUND(IF(데이터입력!$AF$14=100%,ROUND(AR99*$AR$1,-3),ROUND(AR99*$AR$1,-3)-ROUND(((AR99*$AR$1)*$AT$4)*(데이터입력!$AF$14-100%)+((AR99*$AR$1)*$AU$4)*(데이터입력!$AF$14-100%)+((AR99*$AR$1)*$AU$4*$AV$4)*(데이터입력!$AF$14-100%)+((AR99*$AR$1)*$AW$4)*(데이터입력!$AF$14-100%),-1)),0)),0)</f>
        <v>0</v>
      </c>
      <c r="AZ99" s="977">
        <f>IFERROR(IF(AR99+AS99=0,0,IF(데이터입력!$AF$12=100%,(AT99),(AT99)+ROUND(AT99*(데이터입력!$AF$12-100%),-1))),0)</f>
        <v>0</v>
      </c>
      <c r="BA99" s="1097" t="str">
        <f>IFERROR(IF(AZ99=0,"",IF(AND(예산실적비교표!AP99&gt;0,예산실적비교표!AW99=0),"",ROUND(AZ99/12,0))),"")</f>
        <v/>
      </c>
      <c r="BB99" s="1096" t="str">
        <f>IF(BA99="","",IF(데이터입력!$O$70="",ROUND(AZ99/12,0),ROUND(데이터입력!$O$70/데이터입력!$Y$8/$BC$63,0)))</f>
        <v/>
      </c>
    </row>
    <row r="100" spans="1:54">
      <c r="A100" s="902" t="str">
        <f>IF($AM$1=TRUE,IF(K100="","",SUBTOTAL(2,$K$3:K100)),IF(AND(M100="",N100=""),"",IF(N100="",COUNT($M$3:M100),COUNT($N$3:N100)+200)))</f>
        <v/>
      </c>
      <c r="B100" s="349" t="s">
        <v>58</v>
      </c>
      <c r="C100" s="349" t="s">
        <v>584</v>
      </c>
      <c r="D100" s="348">
        <v>502010101</v>
      </c>
      <c r="E100" s="348" t="s">
        <v>84</v>
      </c>
      <c r="F100" s="348" t="s">
        <v>81</v>
      </c>
      <c r="G100" s="350">
        <f>IFERROR(IF($E100="07",VLOOKUP($B100,예산실적비교표!$X$7:$Z$200,2,FALSE),0),0)</f>
        <v>0</v>
      </c>
      <c r="H100" s="350">
        <f>IFERROR(IF($E100="06",VLOOKUP($C100,세출예산서!$K$3:$X$307,12,FALSE),0),0)</f>
        <v>0</v>
      </c>
      <c r="I100" s="350">
        <f>IFERROR(IF($E100="07",VLOOKUP($C100,세출예산서!$K$3:$X$307,13,FALSE),0),0)</f>
        <v>0</v>
      </c>
      <c r="J100" s="350">
        <f>IFERROR(IF($E100="05",VLOOKUP($C100,세출예산서!$K$3:$X$307,14,FALSE),0),0)</f>
        <v>0</v>
      </c>
      <c r="K100" s="350" t="str">
        <f t="shared" si="11"/>
        <v/>
      </c>
      <c r="L100" s="351">
        <f>IFERROR(IF($AB$2="",0,ROUNDUP(VLOOKUP($B100,예산실적비교표!$X$7:$Z$200,3,FALSE)*$Y$7/($Y$8-(12-$Y$10)),-2)*$Y$8),0)</f>
        <v>0</v>
      </c>
      <c r="M100" s="597" t="str">
        <f>IF($AM$1=TRUE,IF(K100="","",IF(IF($AE$2="",IF(K100="","",SUBTOTAL(2,$K$3:K100)),IF(AND(G100&gt;=0,K100=""),"",IF(AND(G100&gt;0,OR(K100&gt;0,K100&lt;0)),SUBTOTAL(2,$K$3:K100),IF(AND(G100=0,OR(K100&gt;0,K100&lt;0)),SUBTOTAL(2,$K$3:K100)+200,""))))&gt;200,"",1)),IF(K100="","",IF(IF($AE$2="",IF(K100="","",SUBTOTAL(2,$K$3:K100)),IF(AND(G100&gt;=0,K100=""),"",IF(AND(G100&gt;0,OR(K100&gt;0,K100&lt;0)),SUBTOTAL(2,$K$3:K100),IF(AND(G100=0,OR(K100&gt;0,K100&lt;0)),SUBTOTAL(2,$K$3:K100)+200,""))))&gt;200,"",1)))</f>
        <v/>
      </c>
      <c r="N100" s="161" t="str">
        <f>IF($AM$1=TRUE,IF(K100="","",IF(IF($AE$2="",IF(K100="","",SUBTOTAL(2,$K$3:K100)),IF(AND(G100&gt;=0,K100=""),"",IF(AND(G100&gt;0,OR(K100&gt;0,K100&lt;0)),SUBTOTAL(2,$K$3:K100),IF(AND(G100=0,OR(K100&gt;0,K100&lt;0)),SUBTOTAL(2,$K$3:K100)+200,""))))&lt;=200,"",2)),IF(K100="","",IF(IF($AE$2="",IF(K100="","",SUBTOTAL(2,$K$3:K100)),IF(AND(G100&gt;=0,K100=""),"",IF(AND(G100&gt;0,OR(K100&gt;0,K100&lt;0)),SUBTOTAL(2,$K$3:K100),IF(AND(G100=0,OR(K100&gt;0,K100&lt;0)),SUBTOTAL(2,$K$3:K100)+200,""))))&lt;=200,"",2)))</f>
        <v/>
      </c>
      <c r="O100" s="482"/>
      <c r="P100" s="364">
        <f>IFERROR(IF($AE$2="추경",IF(VLOOKUP(R100,$B$42:$L$80,6,FALSE)&gt;=VLOOKUP(R100,$B$42:$L$80,11,FALSE),VLOOKUP(R100,$B$42:$L$80,6,FALSE),VLOOKUP(R100,예산평균!$B:$D,3,FALSE)),IF(VLOOKUP(R100,$B$42:$L$80,11,FALSE)&gt;0,IF(VLOOKUP(R100,$B$42:$L$80,6,FALSE)&gt;=VLOOKUP(R100,$B$42:$L$80,11,FALSE),VLOOKUP(R100,$B$42:$L$80,6,FALSE),ROUNDUP(VLOOKUP(R100,$B$42:$L$80,11,FALSE)/U100,-4)*U100),VLOOKUP(R100,예산평균!$B:$D,3,FALSE))),0)</f>
        <v>0</v>
      </c>
      <c r="Q100" s="487">
        <v>0</v>
      </c>
      <c r="R100" s="422" t="s">
        <v>73</v>
      </c>
      <c r="S100" s="423" t="s">
        <v>80</v>
      </c>
      <c r="T100" s="358">
        <f t="shared" si="23"/>
        <v>0</v>
      </c>
      <c r="U100" s="490">
        <v>1</v>
      </c>
      <c r="V100" s="424" t="s">
        <v>424</v>
      </c>
      <c r="X100" s="432" t="s">
        <v>208</v>
      </c>
      <c r="Y100" s="1384"/>
      <c r="Z100" s="1385"/>
      <c r="AA100" s="1386"/>
      <c r="AB100" s="1387"/>
      <c r="AC100" s="1372">
        <f>총괄표!E17-총괄표!L17</f>
        <v>0</v>
      </c>
      <c r="AD100" s="1373"/>
      <c r="AE100" s="1372">
        <f>총괄표!F17-총괄표!M17</f>
        <v>0</v>
      </c>
      <c r="AF100" s="1373"/>
      <c r="AP100" s="1035" t="str">
        <f>IF(예산실적비교표!AL100&lt;&gt;"",예산실적비교표!AL100,"")</f>
        <v/>
      </c>
      <c r="AQ100" s="1036" t="str">
        <f>IF(예산실적비교표!AM100&lt;&gt;"",예산실적비교표!AM100,"")</f>
        <v/>
      </c>
      <c r="AR100" s="1037">
        <f>IF(AND(예산실적비교표!AN100&lt;&gt;"",예산실적비교표!AN100&gt;1),예산실적비교표!AN100,0)</f>
        <v>0</v>
      </c>
      <c r="AS100" s="1038">
        <f>IF(예산실적비교표!AO100&lt;&gt;"",예산실적비교표!AO100,0)</f>
        <v>0</v>
      </c>
      <c r="AT100" s="971">
        <f t="shared" si="18"/>
        <v>0</v>
      </c>
      <c r="AU100" s="1039">
        <f>IF(예산실적비교표!AQ100&lt;&gt;"",예산실적비교표!AQ100,0)</f>
        <v>0</v>
      </c>
      <c r="AV100" s="973">
        <f t="shared" si="19"/>
        <v>0</v>
      </c>
      <c r="AW100" s="974">
        <f>IF(AR100="",0,ROUND((AT100*$AT$7)*데이터입력!$AF$14+(AT100*$AU$7)*데이터입력!$AF$14+(AT100*$AU$7*$AV$7)*데이터입력!$AF$14+(AT100*$AW$7)*데이터입력!$AF$14+(AT100*$AX$7)*데이터입력!$AF$14,-1))</f>
        <v>0</v>
      </c>
      <c r="AX100" s="975">
        <f t="shared" si="20"/>
        <v>0</v>
      </c>
      <c r="AY100" s="976">
        <f>IFERROR(IF($AE$2=TRUE,IF(AR100+AS100=0,0,AR100+AS100),ROUND(IF(데이터입력!$AF$14=100%,ROUND(AR100*$AR$1,-3),ROUND(AR100*$AR$1,-3)-ROUND(((AR100*$AR$1)*$AT$4)*(데이터입력!$AF$14-100%)+((AR100*$AR$1)*$AU$4)*(데이터입력!$AF$14-100%)+((AR100*$AR$1)*$AU$4*$AV$4)*(데이터입력!$AF$14-100%)+((AR100*$AR$1)*$AW$4)*(데이터입력!$AF$14-100%),-1)),0)),0)</f>
        <v>0</v>
      </c>
      <c r="AZ100" s="977">
        <f>IFERROR(IF(AR100+AS100=0,0,IF(데이터입력!$AF$12=100%,(AT100),(AT100)+ROUND(AT100*(데이터입력!$AF$12-100%),-1))),0)</f>
        <v>0</v>
      </c>
      <c r="BA100" s="1097" t="str">
        <f>IFERROR(IF(AZ100=0,"",IF(AND(예산실적비교표!AP100&gt;0,예산실적비교표!AW100=0),"",ROUND(AZ100/12,0))),"")</f>
        <v/>
      </c>
      <c r="BB100" s="1096" t="str">
        <f>IF(BA100="","",IF(데이터입력!$O$70="",ROUND(AZ100/12,0),ROUND(데이터입력!$O$70/데이터입력!$Y$8/$BC$63,0)))</f>
        <v/>
      </c>
    </row>
    <row r="101" spans="1:54">
      <c r="A101" s="902" t="str">
        <f>IF($AM$1=TRUE,IF(K101="","",SUBTOTAL(2,$K$3:K101)),IF(AND(M101="",N101=""),"",IF(N101="",COUNT($M$3:M101),COUNT($N$3:N101)+200)))</f>
        <v/>
      </c>
      <c r="B101" s="349" t="s">
        <v>59</v>
      </c>
      <c r="C101" s="349" t="s">
        <v>585</v>
      </c>
      <c r="D101" s="348">
        <v>502010201</v>
      </c>
      <c r="E101" s="348" t="s">
        <v>84</v>
      </c>
      <c r="F101" s="348" t="s">
        <v>81</v>
      </c>
      <c r="G101" s="350">
        <f>IFERROR(IF($E101="07",VLOOKUP($B101,예산실적비교표!$X$7:$Z$200,2,FALSE),0),0)</f>
        <v>0</v>
      </c>
      <c r="H101" s="350">
        <f>IFERROR(IF($E101="06",VLOOKUP($C101,세출예산서!$K$3:$X$307,12,FALSE),0),0)</f>
        <v>0</v>
      </c>
      <c r="I101" s="350">
        <f>IFERROR(IF($E101="07",VLOOKUP($C101,세출예산서!$K$3:$X$307,13,FALSE),0),0)</f>
        <v>0</v>
      </c>
      <c r="J101" s="350">
        <f>IFERROR(IF($E101="05",VLOOKUP($C101,세출예산서!$K$3:$X$307,14,FALSE),0),0)</f>
        <v>0</v>
      </c>
      <c r="K101" s="350" t="str">
        <f t="shared" si="11"/>
        <v/>
      </c>
      <c r="L101" s="351">
        <f>IFERROR(IF($AB$2="",0,ROUNDUP(VLOOKUP($B101,예산실적비교표!$X$7:$Z$200,3,FALSE)*$Y$7/($Y$8-(12-$Y$10)),-2)*$Y$8),0)</f>
        <v>0</v>
      </c>
      <c r="M101" s="597" t="str">
        <f>IF($AM$1=TRUE,IF(K101="","",IF(IF($AE$2="",IF(K101="","",SUBTOTAL(2,$K$3:K101)),IF(AND(G101&gt;=0,K101=""),"",IF(AND(G101&gt;0,OR(K101&gt;0,K101&lt;0)),SUBTOTAL(2,$K$3:K101),IF(AND(G101=0,OR(K101&gt;0,K101&lt;0)),SUBTOTAL(2,$K$3:K101)+200,""))))&gt;200,"",1)),IF(K101="","",IF(IF($AE$2="",IF(K101="","",SUBTOTAL(2,$K$3:K101)),IF(AND(G101&gt;=0,K101=""),"",IF(AND(G101&gt;0,OR(K101&gt;0,K101&lt;0)),SUBTOTAL(2,$K$3:K101),IF(AND(G101=0,OR(K101&gt;0,K101&lt;0)),SUBTOTAL(2,$K$3:K101)+200,""))))&gt;200,"",1)))</f>
        <v/>
      </c>
      <c r="N101" s="161" t="str">
        <f>IF($AM$1=TRUE,IF(K101="","",IF(IF($AE$2="",IF(K101="","",SUBTOTAL(2,$K$3:K101)),IF(AND(G101&gt;=0,K101=""),"",IF(AND(G101&gt;0,OR(K101&gt;0,K101&lt;0)),SUBTOTAL(2,$K$3:K101),IF(AND(G101=0,OR(K101&gt;0,K101&lt;0)),SUBTOTAL(2,$K$3:K101)+200,""))))&lt;=200,"",2)),IF(K101="","",IF(IF($AE$2="",IF(K101="","",SUBTOTAL(2,$K$3:K101)),IF(AND(G101&gt;=0,K101=""),"",IF(AND(G101&gt;0,OR(K101&gt;0,K101&lt;0)),SUBTOTAL(2,$K$3:K101),IF(AND(G101=0,OR(K101&gt;0,K101&lt;0)),SUBTOTAL(2,$K$3:K101)+200,""))))&lt;=200,"",2)))</f>
        <v/>
      </c>
      <c r="O101" s="482"/>
      <c r="P101" s="364">
        <f>IFERROR(IF($AE$2="추경",IF(VLOOKUP(R101,$B$42:$L$80,6,FALSE)&gt;=VLOOKUP(R101,$B$42:$L$80,11,FALSE),VLOOKUP(R101,$B$42:$L$80,6,FALSE),0),IF(VLOOKUP(R101,$B$42:$L$80,11,FALSE)&gt;0,IF(VLOOKUP(R101,$B$42:$L$80,6,FALSE)&gt;=VLOOKUP(R101,$B$42:$L$80,11,FALSE),VLOOKUP(R101,$B$42:$L$80,6,FALSE),ROUNDUP(VLOOKUP(R101,$B$42:$L$80,11,FALSE)/U101,-4)*U101),0)),0)</f>
        <v>0</v>
      </c>
      <c r="Q101" s="487">
        <v>0</v>
      </c>
      <c r="R101" s="422" t="s">
        <v>3</v>
      </c>
      <c r="S101" s="423" t="s">
        <v>80</v>
      </c>
      <c r="T101" s="358">
        <f t="shared" si="23"/>
        <v>0</v>
      </c>
      <c r="U101" s="490">
        <f t="shared" ref="U101:U124" si="27">IF(Q101=0,$Y$8,Q101)</f>
        <v>12</v>
      </c>
      <c r="V101" s="360" t="s">
        <v>126</v>
      </c>
      <c r="X101" s="433" t="s">
        <v>4</v>
      </c>
      <c r="Y101" s="1374">
        <f>IF(IFERROR(VLOOKUP(X101,예산실적비교표!$M:$R,4,FALSE),0)=0,SUM(G3:G7),IFERROR(VLOOKUP(X101,예산실적비교표!$M:$R,4,FALSE),0))</f>
        <v>352004160</v>
      </c>
      <c r="Z101" s="1382"/>
      <c r="AA101" s="1374">
        <f>세입예산서!V4</f>
        <v>357740160</v>
      </c>
      <c r="AB101" s="1375"/>
      <c r="AC101" s="1378"/>
      <c r="AD101" s="1379"/>
      <c r="AE101" s="1378"/>
      <c r="AF101" s="1379"/>
      <c r="AP101" s="1035" t="str">
        <f>IF(예산실적비교표!AL101&lt;&gt;"",예산실적비교표!AL101,"")</f>
        <v/>
      </c>
      <c r="AQ101" s="1036" t="str">
        <f>IF(예산실적비교표!AM101&lt;&gt;"",예산실적비교표!AM101,"")</f>
        <v/>
      </c>
      <c r="AR101" s="1037">
        <f>IF(AND(예산실적비교표!AN101&lt;&gt;"",예산실적비교표!AN101&gt;1),예산실적비교표!AN101,0)</f>
        <v>0</v>
      </c>
      <c r="AS101" s="1038">
        <f>IF(예산실적비교표!AO101&lt;&gt;"",예산실적비교표!AO101,0)</f>
        <v>0</v>
      </c>
      <c r="AT101" s="971">
        <f t="shared" si="18"/>
        <v>0</v>
      </c>
      <c r="AU101" s="1039">
        <f>IF(예산실적비교표!AQ101&lt;&gt;"",예산실적비교표!AQ101,0)</f>
        <v>0</v>
      </c>
      <c r="AV101" s="973">
        <f t="shared" si="19"/>
        <v>0</v>
      </c>
      <c r="AW101" s="974">
        <f>IF(AR101="",0,ROUND((AT101*$AT$7)*데이터입력!$AF$14+(AT101*$AU$7)*데이터입력!$AF$14+(AT101*$AU$7*$AV$7)*데이터입력!$AF$14+(AT101*$AW$7)*데이터입력!$AF$14+(AT101*$AX$7)*데이터입력!$AF$14,-1))</f>
        <v>0</v>
      </c>
      <c r="AX101" s="975">
        <f t="shared" si="20"/>
        <v>0</v>
      </c>
      <c r="AY101" s="976">
        <f>IFERROR(IF($AE$2=TRUE,IF(AR101+AS101=0,0,AR101+AS101),ROUND(IF(데이터입력!$AF$14=100%,ROUND(AR101*$AR$1,-3),ROUND(AR101*$AR$1,-3)-ROUND(((AR101*$AR$1)*$AT$4)*(데이터입력!$AF$14-100%)+((AR101*$AR$1)*$AU$4)*(데이터입력!$AF$14-100%)+((AR101*$AR$1)*$AU$4*$AV$4)*(데이터입력!$AF$14-100%)+((AR101*$AR$1)*$AW$4)*(데이터입력!$AF$14-100%),-1)),0)),0)</f>
        <v>0</v>
      </c>
      <c r="AZ101" s="977">
        <f>IFERROR(IF(AR101+AS101=0,0,IF(데이터입력!$AF$12=100%,(AT101),(AT101)+ROUND(AT101*(데이터입력!$AF$12-100%),-1))),0)</f>
        <v>0</v>
      </c>
      <c r="BA101" s="1097" t="str">
        <f>IFERROR(IF(AZ101=0,"",IF(AND(예산실적비교표!AP101&gt;0,예산실적비교표!AW101=0),"",ROUND(AZ101/12,0))),"")</f>
        <v/>
      </c>
      <c r="BB101" s="1096" t="str">
        <f>IF(BA101="","",IF(데이터입력!$O$70="",ROUND(AZ101/12,0),ROUND(데이터입력!$O$70/데이터입력!$Y$8/$BC$63,0)))</f>
        <v/>
      </c>
    </row>
    <row r="102" spans="1:54" ht="17.25" thickBot="1">
      <c r="A102" s="902" t="str">
        <f>IF($AM$1=TRUE,IF(K102="","",SUBTOTAL(2,$K$3:K102)),IF(AND(M102="",N102=""),"",IF(N102="",COUNT($M$3:M102),COUNT($N$3:N102)+200)))</f>
        <v/>
      </c>
      <c r="B102" s="349" t="s">
        <v>60</v>
      </c>
      <c r="C102" s="349" t="s">
        <v>586</v>
      </c>
      <c r="D102" s="348">
        <v>502010301</v>
      </c>
      <c r="E102" s="348" t="s">
        <v>84</v>
      </c>
      <c r="F102" s="348" t="s">
        <v>81</v>
      </c>
      <c r="G102" s="350">
        <f>IFERROR(IF($E102="07",VLOOKUP($B102,예산실적비교표!$X$7:$Z$200,2,FALSE),0),0)</f>
        <v>0</v>
      </c>
      <c r="H102" s="350">
        <f>IFERROR(IF($E102="06",VLOOKUP($C102,세출예산서!$K$3:$X$307,12,FALSE),0),0)</f>
        <v>0</v>
      </c>
      <c r="I102" s="350">
        <f>IFERROR(IF($E102="07",VLOOKUP($C102,세출예산서!$K$3:$X$307,13,FALSE),0),0)</f>
        <v>0</v>
      </c>
      <c r="J102" s="350">
        <f>IFERROR(IF($E102="05",VLOOKUP($C102,세출예산서!$K$3:$X$307,14,FALSE),0),0)</f>
        <v>0</v>
      </c>
      <c r="K102" s="350" t="str">
        <f t="shared" si="11"/>
        <v/>
      </c>
      <c r="L102" s="351">
        <f>IFERROR(IF($AB$2="",0,ROUNDUP(VLOOKUP($B102,예산실적비교표!$X$7:$Z$200,3,FALSE)*$Y$7/($Y$8-(12-$Y$10)),-2)*$Y$8),0)</f>
        <v>0</v>
      </c>
      <c r="M102" s="597" t="str">
        <f>IF($AM$1=TRUE,IF(K102="","",IF(IF($AE$2="",IF(K102="","",SUBTOTAL(2,$K$3:K102)),IF(AND(G102&gt;=0,K102=""),"",IF(AND(G102&gt;0,OR(K102&gt;0,K102&lt;0)),SUBTOTAL(2,$K$3:K102),IF(AND(G102=0,OR(K102&gt;0,K102&lt;0)),SUBTOTAL(2,$K$3:K102)+200,""))))&gt;200,"",1)),IF(K102="","",IF(IF($AE$2="",IF(K102="","",SUBTOTAL(2,$K$3:K102)),IF(AND(G102&gt;=0,K102=""),"",IF(AND(G102&gt;0,OR(K102&gt;0,K102&lt;0)),SUBTOTAL(2,$K$3:K102),IF(AND(G102=0,OR(K102&gt;0,K102&lt;0)),SUBTOTAL(2,$K$3:K102)+200,""))))&gt;200,"",1)))</f>
        <v/>
      </c>
      <c r="N102" s="161" t="str">
        <f>IF($AM$1=TRUE,IF(K102="","",IF(IF($AE$2="",IF(K102="","",SUBTOTAL(2,$K$3:K102)),IF(AND(G102&gt;=0,K102=""),"",IF(AND(G102&gt;0,OR(K102&gt;0,K102&lt;0)),SUBTOTAL(2,$K$3:K102),IF(AND(G102=0,OR(K102&gt;0,K102&lt;0)),SUBTOTAL(2,$K$3:K102)+200,""))))&lt;=200,"",2)),IF(K102="","",IF(IF($AE$2="",IF(K102="","",SUBTOTAL(2,$K$3:K102)),IF(AND(G102&gt;=0,K102=""),"",IF(AND(G102&gt;0,OR(K102&gt;0,K102&lt;0)),SUBTOTAL(2,$K$3:K102),IF(AND(G102=0,OR(K102&gt;0,K102&lt;0)),SUBTOTAL(2,$K$3:K102)+200,""))))&lt;=200,"",2)))</f>
        <v/>
      </c>
      <c r="O102" s="484"/>
      <c r="P102" s="364">
        <f>IFERROR(IF($AE$2="추경",IF(VLOOKUP(R102,$B$42:$L$80,6,FALSE)&gt;=VLOOKUP(R102,$B$42:$L$80,11,FALSE),VLOOKUP(R102,$B$42:$L$80,6,FALSE),0),IF(VLOOKUP(R102,$B$42:$L$80,11,FALSE)&gt;0,IF(VLOOKUP(R102,$B$42:$L$80,6,FALSE)&gt;=VLOOKUP(R102,$B$42:$L$80,11,FALSE),VLOOKUP(R102,$B$42:$L$80,6,FALSE),ROUNDUP(VLOOKUP(R102,$B$42:$L$80,11,FALSE)/U102,-4)*U102),0)),0)</f>
        <v>0</v>
      </c>
      <c r="Q102" s="488">
        <v>0</v>
      </c>
      <c r="R102" s="435" t="s">
        <v>74</v>
      </c>
      <c r="S102" s="436" t="s">
        <v>80</v>
      </c>
      <c r="T102" s="437">
        <f t="shared" si="23"/>
        <v>0</v>
      </c>
      <c r="U102" s="493">
        <f t="shared" si="27"/>
        <v>12</v>
      </c>
      <c r="V102" s="405" t="s">
        <v>126</v>
      </c>
      <c r="X102" s="434" t="s">
        <v>39</v>
      </c>
      <c r="Y102" s="1376">
        <f>IFERROR(SUM(G42:G51,G81:G90,G111:G120),0)</f>
        <v>1021657000</v>
      </c>
      <c r="Z102" s="1383"/>
      <c r="AA102" s="1376" t="e">
        <f>세출예산서!$Y$5</f>
        <v>#REF!</v>
      </c>
      <c r="AB102" s="1377"/>
      <c r="AC102" s="1380">
        <v>1</v>
      </c>
      <c r="AD102" s="1381"/>
      <c r="AE102" s="1380"/>
      <c r="AF102" s="1381"/>
      <c r="AP102" s="1035" t="str">
        <f>IF(예산실적비교표!AL102&lt;&gt;"",예산실적비교표!AL102,"")</f>
        <v/>
      </c>
      <c r="AQ102" s="1036" t="str">
        <f>IF(예산실적비교표!AM102&lt;&gt;"",예산실적비교표!AM102,"")</f>
        <v/>
      </c>
      <c r="AR102" s="1037">
        <f>IF(AND(예산실적비교표!AN102&lt;&gt;"",예산실적비교표!AN102&gt;1),예산실적비교표!AN102,0)</f>
        <v>0</v>
      </c>
      <c r="AS102" s="1038">
        <f>IF(예산실적비교표!AO102&lt;&gt;"",예산실적비교표!AO102,0)</f>
        <v>0</v>
      </c>
      <c r="AT102" s="971">
        <f t="shared" si="18"/>
        <v>0</v>
      </c>
      <c r="AU102" s="1039">
        <f>IF(예산실적비교표!AQ102&lt;&gt;"",예산실적비교표!AQ102,0)</f>
        <v>0</v>
      </c>
      <c r="AV102" s="973">
        <f t="shared" si="19"/>
        <v>0</v>
      </c>
      <c r="AW102" s="974">
        <f>IF(AR102="",0,ROUND((AT102*$AT$7)*데이터입력!$AF$14+(AT102*$AU$7)*데이터입력!$AF$14+(AT102*$AU$7*$AV$7)*데이터입력!$AF$14+(AT102*$AW$7)*데이터입력!$AF$14+(AT102*$AX$7)*데이터입력!$AF$14,-1))</f>
        <v>0</v>
      </c>
      <c r="AX102" s="975">
        <f t="shared" si="20"/>
        <v>0</v>
      </c>
      <c r="AY102" s="976">
        <f>IFERROR(IF($AE$2=TRUE,IF(AR102+AS102=0,0,AR102+AS102),ROUND(IF(데이터입력!$AF$14=100%,ROUND(AR102*$AR$1,-3),ROUND(AR102*$AR$1,-3)-ROUND(((AR102*$AR$1)*$AT$4)*(데이터입력!$AF$14-100%)+((AR102*$AR$1)*$AU$4)*(데이터입력!$AF$14-100%)+((AR102*$AR$1)*$AU$4*$AV$4)*(데이터입력!$AF$14-100%)+((AR102*$AR$1)*$AW$4)*(데이터입력!$AF$14-100%),-1)),0)),0)</f>
        <v>0</v>
      </c>
      <c r="AZ102" s="977">
        <f>IFERROR(IF(AR102+AS102=0,0,IF(데이터입력!$AF$12=100%,(AT102),(AT102)+ROUND(AT102*(데이터입력!$AF$12-100%),-1))),0)</f>
        <v>0</v>
      </c>
      <c r="BA102" s="1097" t="str">
        <f>IFERROR(IF(AZ102=0,"",IF(AND(예산실적비교표!AP102&gt;0,예산실적비교표!AW102=0),"",ROUND(AZ102/12,0))),"")</f>
        <v/>
      </c>
      <c r="BB102" s="1096" t="str">
        <f>IF(BA102="","",IF(데이터입력!$O$70="",ROUND(AZ102/12,0),ROUND(데이터입력!$O$70/데이터입력!$Y$8/$BC$63,0)))</f>
        <v/>
      </c>
    </row>
    <row r="103" spans="1:54">
      <c r="A103" s="902">
        <f>IF($AM$1=TRUE,IF(K103="","",SUBTOTAL(2,$K$3:K103)),IF(AND(M103="",N103=""),"",IF(N103="",COUNT($M$3:M103),COUNT($N$3:N103)+200)))</f>
        <v>31</v>
      </c>
      <c r="B103" s="349" t="s">
        <v>61</v>
      </c>
      <c r="C103" s="349" t="s">
        <v>587</v>
      </c>
      <c r="D103" s="348">
        <v>503010101</v>
      </c>
      <c r="E103" s="348" t="s">
        <v>84</v>
      </c>
      <c r="F103" s="348" t="s">
        <v>81</v>
      </c>
      <c r="G103" s="350">
        <f>IFERROR(IF($E103="07",VLOOKUP($B103,예산실적비교표!$X$7:$Z$200,2,FALSE),0),0)</f>
        <v>56400000</v>
      </c>
      <c r="H103" s="350">
        <f>IFERROR(IF($E103="06",VLOOKUP($C103,세출예산서!$K$3:$X$307,12,FALSE),0),0)</f>
        <v>0</v>
      </c>
      <c r="I103" s="350">
        <f>IFERROR(IF($E103="07",VLOOKUP($C103,세출예산서!$K$3:$X$307,13,FALSE),0),0)</f>
        <v>59280000</v>
      </c>
      <c r="J103" s="350">
        <f>IFERROR(IF($E103="05",VLOOKUP($C103,세출예산서!$K$3:$X$307,14,FALSE),0),0)</f>
        <v>0</v>
      </c>
      <c r="K103" s="350">
        <f t="shared" si="11"/>
        <v>2880000</v>
      </c>
      <c r="L103" s="351">
        <f>IFERROR(IF($AB$2="",0,ROUNDUP(VLOOKUP($B103,예산실적비교표!$X$7:$Z$200,3,FALSE)/($Y$8-(12-$Y$10)),-2)*$Y$8),0)</f>
        <v>0</v>
      </c>
      <c r="M103" s="597">
        <f>IF($AM$1=TRUE,IF(K103="","",IF(IF($AE$2="",IF(K103="","",SUBTOTAL(2,$K$3:K103)),IF(AND(G103&gt;=0,K103=""),"",IF(AND(G103&gt;0,OR(K103&gt;0,K103&lt;0)),SUBTOTAL(2,$K$3:K103),IF(AND(G103=0,OR(K103&gt;0,K103&lt;0)),SUBTOTAL(2,$K$3:K103)+200,""))))&gt;200,"",1)),IF(K103="","",IF(IF($AE$2="",IF(K103="","",SUBTOTAL(2,$K$3:K103)),IF(AND(G103&gt;=0,K103=""),"",IF(AND(G103&gt;0,OR(K103&gt;0,K103&lt;0)),SUBTOTAL(2,$K$3:K103),IF(AND(G103=0,OR(K103&gt;0,K103&lt;0)),SUBTOTAL(2,$K$3:K103)+200,""))))&gt;200,"",1)))</f>
        <v>1</v>
      </c>
      <c r="N103" s="161" t="str">
        <f>IF($AM$1=TRUE,IF(K103="","",IF(IF($AE$2="",IF(K103="","",SUBTOTAL(2,$K$3:K103)),IF(AND(G103&gt;=0,K103=""),"",IF(AND(G103&gt;0,OR(K103&gt;0,K103&lt;0)),SUBTOTAL(2,$K$3:K103),IF(AND(G103=0,OR(K103&gt;0,K103&lt;0)),SUBTOTAL(2,$K$3:K103)+200,""))))&lt;=200,"",2)),IF(K103="","",IF(IF($AE$2="",IF(K103="","",SUBTOTAL(2,$K$3:K103)),IF(AND(G103&gt;=0,K103=""),"",IF(AND(G103&gt;0,OR(K103&gt;0,K103&lt;0)),SUBTOTAL(2,$K$3:K103),IF(AND(G103=0,OR(K103&gt;0,K103&lt;0)),SUBTOTAL(2,$K$3:K103)+200,""))))&lt;=200,"",2)))</f>
        <v/>
      </c>
      <c r="O103" s="481"/>
      <c r="P103" s="356">
        <f t="shared" ref="P103:P124" si="28">IFERROR(IF(VLOOKUP(R103,$B$81:$L$110,11,FALSE)&gt;0,VLOOKUP(R103,$B$81:$L$110,11,FALSE),0),0)</f>
        <v>0</v>
      </c>
      <c r="Q103" s="474">
        <v>0</v>
      </c>
      <c r="R103" s="438" t="s">
        <v>40</v>
      </c>
      <c r="S103" s="439" t="s">
        <v>81</v>
      </c>
      <c r="T103" s="391">
        <f t="shared" si="23"/>
        <v>0</v>
      </c>
      <c r="U103" s="494">
        <f t="shared" si="27"/>
        <v>12</v>
      </c>
      <c r="V103" s="440" t="s">
        <v>126</v>
      </c>
      <c r="AP103" s="1035" t="str">
        <f>IF(예산실적비교표!AL103&lt;&gt;"",예산실적비교표!AL103,"")</f>
        <v/>
      </c>
      <c r="AQ103" s="1036" t="str">
        <f>IF(예산실적비교표!AM103&lt;&gt;"",예산실적비교표!AM103,"")</f>
        <v/>
      </c>
      <c r="AR103" s="1037">
        <f>IF(AND(예산실적비교표!AN103&lt;&gt;"",예산실적비교표!AN103&gt;1),예산실적비교표!AN103,0)</f>
        <v>0</v>
      </c>
      <c r="AS103" s="1038">
        <f>IF(예산실적비교표!AO103&lt;&gt;"",예산실적비교표!AO103,0)</f>
        <v>0</v>
      </c>
      <c r="AT103" s="971">
        <f t="shared" si="18"/>
        <v>0</v>
      </c>
      <c r="AU103" s="1039">
        <f>IF(예산실적비교표!AQ103&lt;&gt;"",예산실적비교표!AQ103,0)</f>
        <v>0</v>
      </c>
      <c r="AV103" s="973">
        <f t="shared" si="19"/>
        <v>0</v>
      </c>
      <c r="AW103" s="974">
        <f>IF(AR103="",0,ROUND((AT103*$AT$7)*데이터입력!$AF$14+(AT103*$AU$7)*데이터입력!$AF$14+(AT103*$AU$7*$AV$7)*데이터입력!$AF$14+(AT103*$AW$7)*데이터입력!$AF$14+(AT103*$AX$7)*데이터입력!$AF$14,-1))</f>
        <v>0</v>
      </c>
      <c r="AX103" s="975">
        <f t="shared" si="20"/>
        <v>0</v>
      </c>
      <c r="AY103" s="976">
        <f>IFERROR(IF($AE$2=TRUE,IF(AR103+AS103=0,0,AR103+AS103),ROUND(IF(데이터입력!$AF$14=100%,ROUND(AR103*$AR$1,-3),ROUND(AR103*$AR$1,-3)-ROUND(((AR103*$AR$1)*$AT$4)*(데이터입력!$AF$14-100%)+((AR103*$AR$1)*$AU$4)*(데이터입력!$AF$14-100%)+((AR103*$AR$1)*$AU$4*$AV$4)*(데이터입력!$AF$14-100%)+((AR103*$AR$1)*$AW$4)*(데이터입력!$AF$14-100%),-1)),0)),0)</f>
        <v>0</v>
      </c>
      <c r="AZ103" s="977">
        <f>IFERROR(IF(AR103+AS103=0,0,IF(데이터입력!$AF$12=100%,(AT103),(AT103)+ROUND(AT103*(데이터입력!$AF$12-100%),-1))),0)</f>
        <v>0</v>
      </c>
      <c r="BA103" s="1097" t="str">
        <f>IFERROR(IF(AZ103=0,"",IF(AND(예산실적비교표!AP103&gt;0,예산실적비교표!AW103=0),"",ROUND(AZ103/12,0))),"")</f>
        <v/>
      </c>
      <c r="BB103" s="1096" t="str">
        <f>IF(BA103="","",IF(데이터입력!$O$70="",ROUND(AZ103/12,0),ROUND(데이터입력!$O$70/데이터입력!$Y$8/$BC$63,0)))</f>
        <v/>
      </c>
    </row>
    <row r="104" spans="1:54">
      <c r="A104" s="902" t="str">
        <f>IF($AM$1=TRUE,IF(K104="","",SUBTOTAL(2,$K$3:K104)),IF(AND(M104="",N104=""),"",IF(N104="",COUNT($M$3:M104),COUNT($N$3:N104)+200)))</f>
        <v/>
      </c>
      <c r="B104" s="349" t="s">
        <v>62</v>
      </c>
      <c r="C104" s="349" t="s">
        <v>588</v>
      </c>
      <c r="D104" s="348">
        <v>503010201</v>
      </c>
      <c r="E104" s="348" t="s">
        <v>84</v>
      </c>
      <c r="F104" s="348" t="s">
        <v>81</v>
      </c>
      <c r="G104" s="350">
        <f>IFERROR(IF($E104="07",VLOOKUP($B104,예산실적비교표!$X$7:$Z$200,2,FALSE),0),0)</f>
        <v>0</v>
      </c>
      <c r="H104" s="350">
        <f>IFERROR(IF($E104="06",VLOOKUP($C104,세출예산서!$K$3:$X$307,12,FALSE),0),0)</f>
        <v>0</v>
      </c>
      <c r="I104" s="350">
        <f>IFERROR(IF($E104="07",VLOOKUP($C104,세출예산서!$K$3:$X$307,13,FALSE),0),0)</f>
        <v>0</v>
      </c>
      <c r="J104" s="350">
        <f>IFERROR(IF($E104="05",VLOOKUP($C104,세출예산서!$K$3:$X$307,14,FALSE),0),0)</f>
        <v>0</v>
      </c>
      <c r="K104" s="350" t="str">
        <f t="shared" si="11"/>
        <v/>
      </c>
      <c r="L104" s="351">
        <f>IFERROR(IF($AB$2="",0,ROUNDUP(VLOOKUP($B104,예산실적비교표!$X$7:$Z$200,3,FALSE)*$Y$7/($Y$8-(12-$Y$10)),-2)*$Y$8),0)</f>
        <v>0</v>
      </c>
      <c r="M104" s="597" t="str">
        <f>IF($AM$1=TRUE,IF(K104="","",IF(IF($AE$2="",IF(K104="","",SUBTOTAL(2,$K$3:K104)),IF(AND(G104&gt;=0,K104=""),"",IF(AND(G104&gt;0,OR(K104&gt;0,K104&lt;0)),SUBTOTAL(2,$K$3:K104),IF(AND(G104=0,OR(K104&gt;0,K104&lt;0)),SUBTOTAL(2,$K$3:K104)+200,""))))&gt;200,"",1)),IF(K104="","",IF(IF($AE$2="",IF(K104="","",SUBTOTAL(2,$K$3:K104)),IF(AND(G104&gt;=0,K104=""),"",IF(AND(G104&gt;0,OR(K104&gt;0,K104&lt;0)),SUBTOTAL(2,$K$3:K104),IF(AND(G104=0,OR(K104&gt;0,K104&lt;0)),SUBTOTAL(2,$K$3:K104)+200,""))))&gt;200,"",1)))</f>
        <v/>
      </c>
      <c r="N104" s="161" t="str">
        <f>IF($AM$1=TRUE,IF(K104="","",IF(IF($AE$2="",IF(K104="","",SUBTOTAL(2,$K$3:K104)),IF(AND(G104&gt;=0,K104=""),"",IF(AND(G104&gt;0,OR(K104&gt;0,K104&lt;0)),SUBTOTAL(2,$K$3:K104),IF(AND(G104=0,OR(K104&gt;0,K104&lt;0)),SUBTOTAL(2,$K$3:K104)+200,""))))&lt;=200,"",2)),IF(K104="","",IF(IF($AE$2="",IF(K104="","",SUBTOTAL(2,$K$3:K104)),IF(AND(G104&gt;=0,K104=""),"",IF(AND(G104&gt;0,OR(K104&gt;0,K104&lt;0)),SUBTOTAL(2,$K$3:K104),IF(AND(G104=0,OR(K104&gt;0,K104&lt;0)),SUBTOTAL(2,$K$3:K104)+200,""))))&lt;=200,"",2)))</f>
        <v/>
      </c>
      <c r="O104" s="482"/>
      <c r="P104" s="364">
        <f t="shared" si="28"/>
        <v>0</v>
      </c>
      <c r="Q104" s="487">
        <v>0</v>
      </c>
      <c r="R104" s="441" t="s">
        <v>41</v>
      </c>
      <c r="S104" s="442" t="s">
        <v>81</v>
      </c>
      <c r="T104" s="397">
        <f t="shared" si="23"/>
        <v>0</v>
      </c>
      <c r="U104" s="495">
        <f t="shared" si="27"/>
        <v>12</v>
      </c>
      <c r="V104" s="360" t="s">
        <v>126</v>
      </c>
      <c r="AP104" s="1035" t="str">
        <f>IF(예산실적비교표!AL104&lt;&gt;"",예산실적비교표!AL104,"")</f>
        <v/>
      </c>
      <c r="AQ104" s="1036" t="str">
        <f>IF(예산실적비교표!AM104&lt;&gt;"",예산실적비교표!AM104,"")</f>
        <v/>
      </c>
      <c r="AR104" s="1037">
        <f>IF(AND(예산실적비교표!AN104&lt;&gt;"",예산실적비교표!AN104&gt;1),예산실적비교표!AN104,0)</f>
        <v>0</v>
      </c>
      <c r="AS104" s="1038">
        <f>IF(예산실적비교표!AO104&lt;&gt;"",예산실적비교표!AO104,0)</f>
        <v>0</v>
      </c>
      <c r="AT104" s="971">
        <f t="shared" si="18"/>
        <v>0</v>
      </c>
      <c r="AU104" s="1039">
        <f>IF(예산실적비교표!AQ104&lt;&gt;"",예산실적비교표!AQ104,0)</f>
        <v>0</v>
      </c>
      <c r="AV104" s="973">
        <f t="shared" si="19"/>
        <v>0</v>
      </c>
      <c r="AW104" s="974">
        <f>IF(AR104="",0,ROUND((AT104*$AT$7)*데이터입력!$AF$14+(AT104*$AU$7)*데이터입력!$AF$14+(AT104*$AU$7*$AV$7)*데이터입력!$AF$14+(AT104*$AW$7)*데이터입력!$AF$14+(AT104*$AX$7)*데이터입력!$AF$14,-1))</f>
        <v>0</v>
      </c>
      <c r="AX104" s="975">
        <f t="shared" si="20"/>
        <v>0</v>
      </c>
      <c r="AY104" s="976">
        <f>IFERROR(IF($AE$2=TRUE,IF(AR104+AS104=0,0,AR104+AS104),ROUND(IF(데이터입력!$AF$14=100%,ROUND(AR104*$AR$1,-3),ROUND(AR104*$AR$1,-3)-ROUND(((AR104*$AR$1)*$AT$4)*(데이터입력!$AF$14-100%)+((AR104*$AR$1)*$AU$4)*(데이터입력!$AF$14-100%)+((AR104*$AR$1)*$AU$4*$AV$4)*(데이터입력!$AF$14-100%)+((AR104*$AR$1)*$AW$4)*(데이터입력!$AF$14-100%),-1)),0)),0)</f>
        <v>0</v>
      </c>
      <c r="AZ104" s="977">
        <f>IFERROR(IF(AR104+AS104=0,0,IF(데이터입력!$AF$12=100%,(AT104),(AT104)+ROUND(AT104*(데이터입력!$AF$12-100%),-1))),0)</f>
        <v>0</v>
      </c>
      <c r="BA104" s="1097" t="str">
        <f>IFERROR(IF(AZ104=0,"",IF(AND(예산실적비교표!AP104&gt;0,예산실적비교표!AW104=0),"",ROUND(AZ104/12,0))),"")</f>
        <v/>
      </c>
      <c r="BB104" s="1096" t="str">
        <f>IF(BA104="","",IF(데이터입력!$O$70="",ROUND(AZ104/12,0),ROUND(데이터입력!$O$70/데이터입력!$Y$8/$BC$63,0)))</f>
        <v/>
      </c>
    </row>
    <row r="105" spans="1:54">
      <c r="A105" s="902" t="str">
        <f>IF($AM$1=TRUE,IF(K105="","",SUBTOTAL(2,$K$3:K105)),IF(AND(M105="",N105=""),"",IF(N105="",COUNT($M$3:M105),COUNT($N$3:N105)+200)))</f>
        <v/>
      </c>
      <c r="B105" s="349" t="s">
        <v>63</v>
      </c>
      <c r="C105" s="349" t="s">
        <v>589</v>
      </c>
      <c r="D105" s="348">
        <v>503010401</v>
      </c>
      <c r="E105" s="348" t="s">
        <v>84</v>
      </c>
      <c r="F105" s="348" t="s">
        <v>81</v>
      </c>
      <c r="G105" s="350">
        <f>IFERROR(IF($E105="07",VLOOKUP($B105,예산실적비교표!$X$7:$Z$200,2,FALSE),0),0)</f>
        <v>0</v>
      </c>
      <c r="H105" s="350">
        <f>IFERROR(IF($E105="06",VLOOKUP($C105,세출예산서!$K$3:$X$307,12,FALSE),0),0)</f>
        <v>0</v>
      </c>
      <c r="I105" s="350">
        <f>IFERROR(IF($E105="07",VLOOKUP($C105,세출예산서!$K$3:$X$307,13,FALSE),0),0)</f>
        <v>0</v>
      </c>
      <c r="J105" s="350">
        <f>IFERROR(IF($E105="05",VLOOKUP($C105,세출예산서!$K$3:$X$307,14,FALSE),0),0)</f>
        <v>0</v>
      </c>
      <c r="K105" s="350" t="str">
        <f t="shared" si="11"/>
        <v/>
      </c>
      <c r="L105" s="351">
        <f>IFERROR(IF($AB$2="",0,ROUNDUP(VLOOKUP($B105,예산실적비교표!$X$7:$Z$200,3,FALSE)*$Y$7/($Y$8-(12-$Y$10)),-2)*$Y$8),0)</f>
        <v>0</v>
      </c>
      <c r="M105" s="597" t="str">
        <f>IF($AM$1=TRUE,IF(K105="","",IF(IF($AE$2="",IF(K105="","",SUBTOTAL(2,$K$3:K105)),IF(AND(G105&gt;=0,K105=""),"",IF(AND(G105&gt;0,OR(K105&gt;0,K105&lt;0)),SUBTOTAL(2,$K$3:K105),IF(AND(G105=0,OR(K105&gt;0,K105&lt;0)),SUBTOTAL(2,$K$3:K105)+200,""))))&gt;200,"",1)),IF(K105="","",IF(IF($AE$2="",IF(K105="","",SUBTOTAL(2,$K$3:K105)),IF(AND(G105&gt;=0,K105=""),"",IF(AND(G105&gt;0,OR(K105&gt;0,K105&lt;0)),SUBTOTAL(2,$K$3:K105),IF(AND(G105=0,OR(K105&gt;0,K105&lt;0)),SUBTOTAL(2,$K$3:K105)+200,""))))&gt;200,"",1)))</f>
        <v/>
      </c>
      <c r="N105" s="161" t="str">
        <f>IF($AM$1=TRUE,IF(K105="","",IF(IF($AE$2="",IF(K105="","",SUBTOTAL(2,$K$3:K105)),IF(AND(G105&gt;=0,K105=""),"",IF(AND(G105&gt;0,OR(K105&gt;0,K105&lt;0)),SUBTOTAL(2,$K$3:K105),IF(AND(G105=0,OR(K105&gt;0,K105&lt;0)),SUBTOTAL(2,$K$3:K105)+200,""))))&lt;=200,"",2)),IF(K105="","",IF(IF($AE$2="",IF(K105="","",SUBTOTAL(2,$K$3:K105)),IF(AND(G105&gt;=0,K105=""),"",IF(AND(G105&gt;0,OR(K105&gt;0,K105&lt;0)),SUBTOTAL(2,$K$3:K105),IF(AND(G105=0,OR(K105&gt;0,K105&lt;0)),SUBTOTAL(2,$K$3:K105)+200,""))))&lt;=200,"",2)))</f>
        <v/>
      </c>
      <c r="O105" s="482"/>
      <c r="P105" s="364">
        <f t="shared" si="28"/>
        <v>0</v>
      </c>
      <c r="Q105" s="487">
        <v>0</v>
      </c>
      <c r="R105" s="441" t="s">
        <v>42</v>
      </c>
      <c r="S105" s="442" t="s">
        <v>81</v>
      </c>
      <c r="T105" s="397">
        <f t="shared" si="23"/>
        <v>0</v>
      </c>
      <c r="U105" s="495">
        <f t="shared" si="27"/>
        <v>12</v>
      </c>
      <c r="V105" s="360" t="s">
        <v>126</v>
      </c>
      <c r="AP105" s="1035" t="str">
        <f>IF(예산실적비교표!AL105&lt;&gt;"",예산실적비교표!AL105,"")</f>
        <v/>
      </c>
      <c r="AQ105" s="1036" t="str">
        <f>IF(예산실적비교표!AM105&lt;&gt;"",예산실적비교표!AM105,"")</f>
        <v/>
      </c>
      <c r="AR105" s="1037">
        <f>IF(AND(예산실적비교표!AN105&lt;&gt;"",예산실적비교표!AN105&gt;1),예산실적비교표!AN105,0)</f>
        <v>0</v>
      </c>
      <c r="AS105" s="1038">
        <f>IF(예산실적비교표!AO105&lt;&gt;"",예산실적비교표!AO105,0)</f>
        <v>0</v>
      </c>
      <c r="AT105" s="971">
        <f t="shared" si="18"/>
        <v>0</v>
      </c>
      <c r="AU105" s="1039">
        <f>IF(예산실적비교표!AQ105&lt;&gt;"",예산실적비교표!AQ105,0)</f>
        <v>0</v>
      </c>
      <c r="AV105" s="973">
        <f t="shared" si="19"/>
        <v>0</v>
      </c>
      <c r="AW105" s="974">
        <f>IF(AR105="",0,ROUND((AT105*$AT$7)*데이터입력!$AF$14+(AT105*$AU$7)*데이터입력!$AF$14+(AT105*$AU$7*$AV$7)*데이터입력!$AF$14+(AT105*$AW$7)*데이터입력!$AF$14+(AT105*$AX$7)*데이터입력!$AF$14,-1))</f>
        <v>0</v>
      </c>
      <c r="AX105" s="975">
        <f t="shared" si="20"/>
        <v>0</v>
      </c>
      <c r="AY105" s="976">
        <f>IFERROR(IF($AE$2=TRUE,IF(AR105+AS105=0,0,AR105+AS105),ROUND(IF(데이터입력!$AF$14=100%,ROUND(AR105*$AR$1,-3),ROUND(AR105*$AR$1,-3)-ROUND(((AR105*$AR$1)*$AT$4)*(데이터입력!$AF$14-100%)+((AR105*$AR$1)*$AU$4)*(데이터입력!$AF$14-100%)+((AR105*$AR$1)*$AU$4*$AV$4)*(데이터입력!$AF$14-100%)+((AR105*$AR$1)*$AW$4)*(데이터입력!$AF$14-100%),-1)),0)),0)</f>
        <v>0</v>
      </c>
      <c r="AZ105" s="977">
        <f>IFERROR(IF(AR105+AS105=0,0,IF(데이터입력!$AF$12=100%,(AT105),(AT105)+ROUND(AT105*(데이터입력!$AF$12-100%),-1))),0)</f>
        <v>0</v>
      </c>
      <c r="BA105" s="1097" t="str">
        <f>IFERROR(IF(AZ105=0,"",IF(AND(예산실적비교표!AP105&gt;0,예산실적비교표!AW105=0),"",ROUND(AZ105/12,0))),"")</f>
        <v/>
      </c>
      <c r="BB105" s="1096" t="str">
        <f>IF(BA105="","",IF(데이터입력!$O$70="",ROUND(AZ105/12,0),ROUND(데이터입력!$O$70/데이터입력!$Y$8/$BC$63,0)))</f>
        <v/>
      </c>
    </row>
    <row r="106" spans="1:54">
      <c r="A106" s="902" t="str">
        <f>IF($AM$1=TRUE,IF(K106="","",SUBTOTAL(2,$K$3:K106)),IF(AND(M106="",N106=""),"",IF(N106="",COUNT($M$3:M106),COUNT($N$3:N106)+200)))</f>
        <v/>
      </c>
      <c r="B106" s="349" t="s">
        <v>64</v>
      </c>
      <c r="C106" s="349" t="s">
        <v>590</v>
      </c>
      <c r="D106" s="348">
        <v>503010501</v>
      </c>
      <c r="E106" s="348" t="s">
        <v>84</v>
      </c>
      <c r="F106" s="348" t="s">
        <v>81</v>
      </c>
      <c r="G106" s="350">
        <f>IFERROR(IF($E106="07",VLOOKUP($B106,예산실적비교표!$X$7:$Z$200,2,FALSE),0),0)</f>
        <v>0</v>
      </c>
      <c r="H106" s="350">
        <f>IFERROR(IF($E106="06",VLOOKUP($C106,세출예산서!$K$3:$X$307,12,FALSE),0),0)</f>
        <v>0</v>
      </c>
      <c r="I106" s="350">
        <f>IFERROR(IF($E106="07",VLOOKUP($C106,세출예산서!$K$3:$X$307,13,FALSE),0),0)</f>
        <v>0</v>
      </c>
      <c r="J106" s="350">
        <f>IFERROR(IF($E106="05",VLOOKUP($C106,세출예산서!$K$3:$X$307,14,FALSE),0),0)</f>
        <v>0</v>
      </c>
      <c r="K106" s="350" t="str">
        <f t="shared" si="11"/>
        <v/>
      </c>
      <c r="L106" s="351">
        <f>IFERROR(IF($AB$2="",0,ROUNDUP(VLOOKUP($B106,예산실적비교표!$X$7:$Z$200,3,FALSE)*$Y$7/($Y$8-(12-$Y$10)),-2)*$Y$8),0)</f>
        <v>0</v>
      </c>
      <c r="M106" s="597" t="str">
        <f>IF($AM$1=TRUE,IF(K106="","",IF(IF($AE$2="",IF(K106="","",SUBTOTAL(2,$K$3:K106)),IF(AND(G106&gt;=0,K106=""),"",IF(AND(G106&gt;0,OR(K106&gt;0,K106&lt;0)),SUBTOTAL(2,$K$3:K106),IF(AND(G106=0,OR(K106&gt;0,K106&lt;0)),SUBTOTAL(2,$K$3:K106)+200,""))))&gt;200,"",1)),IF(K106="","",IF(IF($AE$2="",IF(K106="","",SUBTOTAL(2,$K$3:K106)),IF(AND(G106&gt;=0,K106=""),"",IF(AND(G106&gt;0,OR(K106&gt;0,K106&lt;0)),SUBTOTAL(2,$K$3:K106),IF(AND(G106=0,OR(K106&gt;0,K106&lt;0)),SUBTOTAL(2,$K$3:K106)+200,""))))&gt;200,"",1)))</f>
        <v/>
      </c>
      <c r="N106" s="161" t="str">
        <f>IF($AM$1=TRUE,IF(K106="","",IF(IF($AE$2="",IF(K106="","",SUBTOTAL(2,$K$3:K106)),IF(AND(G106&gt;=0,K106=""),"",IF(AND(G106&gt;0,OR(K106&gt;0,K106&lt;0)),SUBTOTAL(2,$K$3:K106),IF(AND(G106=0,OR(K106&gt;0,K106&lt;0)),SUBTOTAL(2,$K$3:K106)+200,""))))&lt;=200,"",2)),IF(K106="","",IF(IF($AE$2="",IF(K106="","",SUBTOTAL(2,$K$3:K106)),IF(AND(G106&gt;=0,K106=""),"",IF(AND(G106&gt;0,OR(K106&gt;0,K106&lt;0)),SUBTOTAL(2,$K$3:K106),IF(AND(G106=0,OR(K106&gt;0,K106&lt;0)),SUBTOTAL(2,$K$3:K106)+200,""))))&lt;=200,"",2)))</f>
        <v/>
      </c>
      <c r="O106" s="482"/>
      <c r="P106" s="364">
        <f t="shared" si="28"/>
        <v>0</v>
      </c>
      <c r="Q106" s="487">
        <v>0</v>
      </c>
      <c r="R106" s="441" t="s">
        <v>43</v>
      </c>
      <c r="S106" s="442" t="s">
        <v>81</v>
      </c>
      <c r="T106" s="397">
        <f t="shared" si="23"/>
        <v>0</v>
      </c>
      <c r="U106" s="495">
        <f t="shared" si="27"/>
        <v>12</v>
      </c>
      <c r="V106" s="360" t="s">
        <v>126</v>
      </c>
      <c r="AP106" s="1035" t="str">
        <f>IF(예산실적비교표!AL106&lt;&gt;"",예산실적비교표!AL106,"")</f>
        <v/>
      </c>
      <c r="AQ106" s="1036" t="str">
        <f>IF(예산실적비교표!AM106&lt;&gt;"",예산실적비교표!AM106,"")</f>
        <v/>
      </c>
      <c r="AR106" s="1037">
        <f>IF(AND(예산실적비교표!AN106&lt;&gt;"",예산실적비교표!AN106&gt;1),예산실적비교표!AN106,0)</f>
        <v>0</v>
      </c>
      <c r="AS106" s="1038">
        <f>IF(예산실적비교표!AO106&lt;&gt;"",예산실적비교표!AO106,0)</f>
        <v>0</v>
      </c>
      <c r="AT106" s="971">
        <f t="shared" si="18"/>
        <v>0</v>
      </c>
      <c r="AU106" s="1039">
        <f>IF(예산실적비교표!AQ106&lt;&gt;"",예산실적비교표!AQ106,0)</f>
        <v>0</v>
      </c>
      <c r="AV106" s="973">
        <f t="shared" si="19"/>
        <v>0</v>
      </c>
      <c r="AW106" s="974">
        <f>IF(AR106="",0,ROUND((AT106*$AT$7)*데이터입력!$AF$14+(AT106*$AU$7)*데이터입력!$AF$14+(AT106*$AU$7*$AV$7)*데이터입력!$AF$14+(AT106*$AW$7)*데이터입력!$AF$14+(AT106*$AX$7)*데이터입력!$AF$14,-1))</f>
        <v>0</v>
      </c>
      <c r="AX106" s="975">
        <f t="shared" si="20"/>
        <v>0</v>
      </c>
      <c r="AY106" s="976">
        <f>IFERROR(IF($AE$2=TRUE,IF(AR106+AS106=0,0,AR106+AS106),ROUND(IF(데이터입력!$AF$14=100%,ROUND(AR106*$AR$1,-3),ROUND(AR106*$AR$1,-3)-ROUND(((AR106*$AR$1)*$AT$4)*(데이터입력!$AF$14-100%)+((AR106*$AR$1)*$AU$4)*(데이터입력!$AF$14-100%)+((AR106*$AR$1)*$AU$4*$AV$4)*(데이터입력!$AF$14-100%)+((AR106*$AR$1)*$AW$4)*(데이터입력!$AF$14-100%),-1)),0)),0)</f>
        <v>0</v>
      </c>
      <c r="AZ106" s="977">
        <f>IFERROR(IF(AR106+AS106=0,0,IF(데이터입력!$AF$12=100%,(AT106),(AT106)+ROUND(AT106*(데이터입력!$AF$12-100%),-1))),0)</f>
        <v>0</v>
      </c>
      <c r="BA106" s="1097" t="str">
        <f>IFERROR(IF(AZ106=0,"",IF(AND(예산실적비교표!AP106&gt;0,예산실적비교표!AW106=0),"",ROUND(AZ106/12,0))),"")</f>
        <v/>
      </c>
      <c r="BB106" s="1096" t="str">
        <f>IF(BA106="","",IF(데이터입력!$O$70="",ROUND(AZ106/12,0),ROUND(데이터입력!$O$70/데이터입력!$Y$8/$BC$63,0)))</f>
        <v/>
      </c>
    </row>
    <row r="107" spans="1:54">
      <c r="A107" s="902" t="str">
        <f>IF($AM$1=TRUE,IF(K107="","",SUBTOTAL(2,$K$3:K107)),IF(AND(M107="",N107=""),"",IF(N107="",COUNT($M$3:M107),COUNT($N$3:N107)+200)))</f>
        <v/>
      </c>
      <c r="B107" s="349" t="s">
        <v>65</v>
      </c>
      <c r="C107" s="349" t="s">
        <v>591</v>
      </c>
      <c r="D107" s="348">
        <v>503030101</v>
      </c>
      <c r="E107" s="348" t="s">
        <v>84</v>
      </c>
      <c r="F107" s="348" t="s">
        <v>81</v>
      </c>
      <c r="G107" s="350">
        <f>IFERROR(IF($E107="07",VLOOKUP($B107,예산실적비교표!$X$7:$Z$200,2,FALSE),0),0)</f>
        <v>0</v>
      </c>
      <c r="H107" s="350">
        <f>IFERROR(IF($E107="06",VLOOKUP($C107,세출예산서!$K$3:$X$307,12,FALSE),0),0)</f>
        <v>0</v>
      </c>
      <c r="I107" s="350">
        <f>IFERROR(IF($E107="07",VLOOKUP($C107,세출예산서!$K$3:$X$307,13,FALSE),0),0)</f>
        <v>0</v>
      </c>
      <c r="J107" s="350">
        <f>IFERROR(IF($E107="05",VLOOKUP($C107,세출예산서!$K$3:$X$307,14,FALSE),0),0)</f>
        <v>0</v>
      </c>
      <c r="K107" s="350" t="str">
        <f t="shared" ref="K107:K137" si="29">IF($AE$2="",IF(SUM(H107:J107)=0,"",SUM(H107:J107)-G107),IF(AND(G107=0,SUM(H107:J107)=0),"",SUM(H107:J107)-G107))</f>
        <v/>
      </c>
      <c r="L107" s="351">
        <f>IFERROR(IF($AB$2="",0,ROUNDUP(VLOOKUP($B107,예산실적비교표!$X$7:$Z$200,3,FALSE)*$Y$7/($Y$8-(12-$Y$10)),-2)*$Y$8),0)</f>
        <v>0</v>
      </c>
      <c r="M107" s="597" t="str">
        <f>IF($AM$1=TRUE,IF(K107="","",IF(IF($AE$2="",IF(K107="","",SUBTOTAL(2,$K$3:K107)),IF(AND(G107&gt;=0,K107=""),"",IF(AND(G107&gt;0,OR(K107&gt;0,K107&lt;0)),SUBTOTAL(2,$K$3:K107),IF(AND(G107=0,OR(K107&gt;0,K107&lt;0)),SUBTOTAL(2,$K$3:K107)+200,""))))&gt;200,"",1)),IF(K107="","",IF(IF($AE$2="",IF(K107="","",SUBTOTAL(2,$K$3:K107)),IF(AND(G107&gt;=0,K107=""),"",IF(AND(G107&gt;0,OR(K107&gt;0,K107&lt;0)),SUBTOTAL(2,$K$3:K107),IF(AND(G107=0,OR(K107&gt;0,K107&lt;0)),SUBTOTAL(2,$K$3:K107)+200,""))))&gt;200,"",1)))</f>
        <v/>
      </c>
      <c r="N107" s="161" t="str">
        <f>IF($AM$1=TRUE,IF(K107="","",IF(IF($AE$2="",IF(K107="","",SUBTOTAL(2,$K$3:K107)),IF(AND(G107&gt;=0,K107=""),"",IF(AND(G107&gt;0,OR(K107&gt;0,K107&lt;0)),SUBTOTAL(2,$K$3:K107),IF(AND(G107=0,OR(K107&gt;0,K107&lt;0)),SUBTOTAL(2,$K$3:K107)+200,""))))&lt;=200,"",2)),IF(K107="","",IF(IF($AE$2="",IF(K107="","",SUBTOTAL(2,$K$3:K107)),IF(AND(G107&gt;=0,K107=""),"",IF(AND(G107&gt;0,OR(K107&gt;0,K107&lt;0)),SUBTOTAL(2,$K$3:K107),IF(AND(G107=0,OR(K107&gt;0,K107&lt;0)),SUBTOTAL(2,$K$3:K107)+200,""))))&lt;=200,"",2)))</f>
        <v/>
      </c>
      <c r="O107" s="482"/>
      <c r="P107" s="364">
        <f t="shared" si="28"/>
        <v>0</v>
      </c>
      <c r="Q107" s="487">
        <v>0</v>
      </c>
      <c r="R107" s="441" t="s">
        <v>44</v>
      </c>
      <c r="S107" s="442" t="s">
        <v>81</v>
      </c>
      <c r="T107" s="397">
        <f t="shared" si="23"/>
        <v>0</v>
      </c>
      <c r="U107" s="495">
        <f t="shared" si="27"/>
        <v>12</v>
      </c>
      <c r="V107" s="360" t="s">
        <v>126</v>
      </c>
      <c r="AP107" s="1035" t="str">
        <f>IF(예산실적비교표!AL107&lt;&gt;"",예산실적비교표!AL107,"")</f>
        <v/>
      </c>
      <c r="AQ107" s="1036" t="str">
        <f>IF(예산실적비교표!AM107&lt;&gt;"",예산실적비교표!AM107,"")</f>
        <v/>
      </c>
      <c r="AR107" s="1037">
        <f>IF(AND(예산실적비교표!AN107&lt;&gt;"",예산실적비교표!AN107&gt;1),예산실적비교표!AN107,0)</f>
        <v>0</v>
      </c>
      <c r="AS107" s="1038">
        <f>IF(예산실적비교표!AO107&lt;&gt;"",예산실적비교표!AO107,0)</f>
        <v>0</v>
      </c>
      <c r="AT107" s="971">
        <f t="shared" si="18"/>
        <v>0</v>
      </c>
      <c r="AU107" s="1039">
        <f>IF(예산실적비교표!AQ107&lt;&gt;"",예산실적비교표!AQ107,0)</f>
        <v>0</v>
      </c>
      <c r="AV107" s="973">
        <f t="shared" si="19"/>
        <v>0</v>
      </c>
      <c r="AW107" s="974">
        <f>IF(AR107="",0,ROUND((AT107*$AT$7)*데이터입력!$AF$14+(AT107*$AU$7)*데이터입력!$AF$14+(AT107*$AU$7*$AV$7)*데이터입력!$AF$14+(AT107*$AW$7)*데이터입력!$AF$14+(AT107*$AX$7)*데이터입력!$AF$14,-1))</f>
        <v>0</v>
      </c>
      <c r="AX107" s="975">
        <f t="shared" si="20"/>
        <v>0</v>
      </c>
      <c r="AY107" s="976">
        <f>IFERROR(IF($AE$2=TRUE,IF(AR107+AS107=0,0,AR107+AS107),ROUND(IF(데이터입력!$AF$14=100%,ROUND(AR107*$AR$1,-3),ROUND(AR107*$AR$1,-3)-ROUND(((AR107*$AR$1)*$AT$4)*(데이터입력!$AF$14-100%)+((AR107*$AR$1)*$AU$4)*(데이터입력!$AF$14-100%)+((AR107*$AR$1)*$AU$4*$AV$4)*(데이터입력!$AF$14-100%)+((AR107*$AR$1)*$AW$4)*(데이터입력!$AF$14-100%),-1)),0)),0)</f>
        <v>0</v>
      </c>
      <c r="AZ107" s="977">
        <f>IFERROR(IF(AR107+AS107=0,0,IF(데이터입력!$AF$12=100%,(AT107),(AT107)+ROUND(AT107*(데이터입력!$AF$12-100%),-1))),0)</f>
        <v>0</v>
      </c>
      <c r="BA107" s="1097" t="str">
        <f>IFERROR(IF(AZ107=0,"",IF(AND(예산실적비교표!AP107&gt;0,예산실적비교표!AW107=0),"",ROUND(AZ107/12,0))),"")</f>
        <v/>
      </c>
      <c r="BB107" s="1096" t="str">
        <f>IF(BA107="","",IF(데이터입력!$O$70="",ROUND(AZ107/12,0),ROUND(데이터입력!$O$70/데이터입력!$Y$8/$BC$63,0)))</f>
        <v/>
      </c>
    </row>
    <row r="108" spans="1:54">
      <c r="A108" s="902" t="str">
        <f>IF($AM$1=TRUE,IF(K108="","",SUBTOTAL(2,$K$3:K108)),IF(AND(M108="",N108=""),"",IF(N108="",COUNT($M$3:M108),COUNT($N$3:N108)+200)))</f>
        <v/>
      </c>
      <c r="B108" s="349" t="s">
        <v>68</v>
      </c>
      <c r="C108" s="349" t="s">
        <v>592</v>
      </c>
      <c r="D108" s="348">
        <v>505010101</v>
      </c>
      <c r="E108" s="348" t="s">
        <v>84</v>
      </c>
      <c r="F108" s="348" t="s">
        <v>81</v>
      </c>
      <c r="G108" s="350">
        <f>IFERROR(IF($E108="07",VLOOKUP($B108,예산실적비교표!$X$7:$Z$200,2,FALSE),0),0)</f>
        <v>0</v>
      </c>
      <c r="H108" s="350">
        <f>IFERROR(IF($E108="06",VLOOKUP($C108,세출예산서!$K$3:$X$307,12,FALSE),0),0)</f>
        <v>0</v>
      </c>
      <c r="I108" s="350">
        <f>IFERROR(IF($E108="07",VLOOKUP($C108,세출예산서!$K$3:$X$307,13,FALSE),0),0)</f>
        <v>0</v>
      </c>
      <c r="J108" s="350">
        <f>IFERROR(IF($E108="05",VLOOKUP($C108,세출예산서!$K$3:$X$307,14,FALSE),0),0)</f>
        <v>0</v>
      </c>
      <c r="K108" s="350" t="str">
        <f t="shared" si="29"/>
        <v/>
      </c>
      <c r="L108" s="351">
        <f>IFERROR(IF($AB$2="",0,ROUNDUP(VLOOKUP($B108,예산실적비교표!$X$7:$Z$200,3,FALSE)*$Y$7/($Y$8-(12-$Y$10)),-2)*$Y$8),0)</f>
        <v>0</v>
      </c>
      <c r="M108" s="597" t="str">
        <f>IF($AM$1=TRUE,IF(K108="","",IF(IF($AE$2="",IF(K108="","",SUBTOTAL(2,$K$3:K108)),IF(AND(G108&gt;=0,K108=""),"",IF(AND(G108&gt;0,OR(K108&gt;0,K108&lt;0)),SUBTOTAL(2,$K$3:K108),IF(AND(G108=0,OR(K108&gt;0,K108&lt;0)),SUBTOTAL(2,$K$3:K108)+200,""))))&gt;200,"",1)),IF(K108="","",IF(IF($AE$2="",IF(K108="","",SUBTOTAL(2,$K$3:K108)),IF(AND(G108&gt;=0,K108=""),"",IF(AND(G108&gt;0,OR(K108&gt;0,K108&lt;0)),SUBTOTAL(2,$K$3:K108),IF(AND(G108=0,OR(K108&gt;0,K108&lt;0)),SUBTOTAL(2,$K$3:K108)+200,""))))&gt;200,"",1)))</f>
        <v/>
      </c>
      <c r="N108" s="161" t="str">
        <f>IF($AM$1=TRUE,IF(K108="","",IF(IF($AE$2="",IF(K108="","",SUBTOTAL(2,$K$3:K108)),IF(AND(G108&gt;=0,K108=""),"",IF(AND(G108&gt;0,OR(K108&gt;0,K108&lt;0)),SUBTOTAL(2,$K$3:K108),IF(AND(G108=0,OR(K108&gt;0,K108&lt;0)),SUBTOTAL(2,$K$3:K108)+200,""))))&lt;=200,"",2)),IF(K108="","",IF(IF($AE$2="",IF(K108="","",SUBTOTAL(2,$K$3:K108)),IF(AND(G108&gt;=0,K108=""),"",IF(AND(G108&gt;0,OR(K108&gt;0,K108&lt;0)),SUBTOTAL(2,$K$3:K108),IF(AND(G108=0,OR(K108&gt;0,K108&lt;0)),SUBTOTAL(2,$K$3:K108)+200,""))))&lt;=200,"",2)))</f>
        <v/>
      </c>
      <c r="O108" s="482"/>
      <c r="P108" s="364">
        <f t="shared" si="28"/>
        <v>0</v>
      </c>
      <c r="Q108" s="487">
        <v>0</v>
      </c>
      <c r="R108" s="441" t="s">
        <v>45</v>
      </c>
      <c r="S108" s="442" t="s">
        <v>81</v>
      </c>
      <c r="T108" s="397">
        <f t="shared" si="23"/>
        <v>0</v>
      </c>
      <c r="U108" s="495">
        <f t="shared" si="27"/>
        <v>12</v>
      </c>
      <c r="V108" s="360" t="s">
        <v>126</v>
      </c>
      <c r="AP108" s="1035" t="str">
        <f>IF(예산실적비교표!AL108&lt;&gt;"",예산실적비교표!AL108,"")</f>
        <v/>
      </c>
      <c r="AQ108" s="1036" t="str">
        <f>IF(예산실적비교표!AM108&lt;&gt;"",예산실적비교표!AM108,"")</f>
        <v/>
      </c>
      <c r="AR108" s="1037">
        <f>IF(AND(예산실적비교표!AN108&lt;&gt;"",예산실적비교표!AN108&gt;1),예산실적비교표!AN108,0)</f>
        <v>0</v>
      </c>
      <c r="AS108" s="1038">
        <f>IF(예산실적비교표!AO108&lt;&gt;"",예산실적비교표!AO108,0)</f>
        <v>0</v>
      </c>
      <c r="AT108" s="971">
        <f t="shared" si="18"/>
        <v>0</v>
      </c>
      <c r="AU108" s="1039">
        <f>IF(예산실적비교표!AQ108&lt;&gt;"",예산실적비교표!AQ108,0)</f>
        <v>0</v>
      </c>
      <c r="AV108" s="973">
        <f t="shared" si="19"/>
        <v>0</v>
      </c>
      <c r="AW108" s="974">
        <f>IF(AR108="",0,ROUND((AT108*$AT$7)*데이터입력!$AF$14+(AT108*$AU$7)*데이터입력!$AF$14+(AT108*$AU$7*$AV$7)*데이터입력!$AF$14+(AT108*$AW$7)*데이터입력!$AF$14+(AT108*$AX$7)*데이터입력!$AF$14,-1))</f>
        <v>0</v>
      </c>
      <c r="AX108" s="975">
        <f t="shared" si="20"/>
        <v>0</v>
      </c>
      <c r="AY108" s="976">
        <f>IFERROR(IF($AE$2=TRUE,IF(AR108+AS108=0,0,AR108+AS108),ROUND(IF(데이터입력!$AF$14=100%,ROUND(AR108*$AR$1,-3),ROUND(AR108*$AR$1,-3)-ROUND(((AR108*$AR$1)*$AT$4)*(데이터입력!$AF$14-100%)+((AR108*$AR$1)*$AU$4)*(데이터입력!$AF$14-100%)+((AR108*$AR$1)*$AU$4*$AV$4)*(데이터입력!$AF$14-100%)+((AR108*$AR$1)*$AW$4)*(데이터입력!$AF$14-100%),-1)),0)),0)</f>
        <v>0</v>
      </c>
      <c r="AZ108" s="977">
        <f>IFERROR(IF(AR108+AS108=0,0,IF(데이터입력!$AF$12=100%,(AT108),(AT108)+ROUND(AT108*(데이터입력!$AF$12-100%),-1))),0)</f>
        <v>0</v>
      </c>
      <c r="BA108" s="1097" t="str">
        <f>IFERROR(IF(AZ108=0,"",IF(AND(예산실적비교표!AP108&gt;0,예산실적비교표!AW108=0),"",ROUND(AZ108/12,0))),"")</f>
        <v/>
      </c>
      <c r="BB108" s="1096" t="str">
        <f>IF(BA108="","",IF(데이터입력!$O$70="",ROUND(AZ108/12,0),ROUND(데이터입력!$O$70/데이터입력!$Y$8/$BC$63,0)))</f>
        <v/>
      </c>
    </row>
    <row r="109" spans="1:54">
      <c r="A109" s="902" t="str">
        <f>IF($AM$1=TRUE,IF(K109="","",SUBTOTAL(2,$K$3:K109)),IF(AND(M109="",N109=""),"",IF(N109="",COUNT($M$3:M109),COUNT($N$3:N109)+200)))</f>
        <v/>
      </c>
      <c r="B109" s="349" t="s">
        <v>71</v>
      </c>
      <c r="C109" s="349" t="s">
        <v>593</v>
      </c>
      <c r="D109" s="348">
        <v>507010101</v>
      </c>
      <c r="E109" s="348" t="s">
        <v>84</v>
      </c>
      <c r="F109" s="348" t="s">
        <v>81</v>
      </c>
      <c r="G109" s="350">
        <f>IFERROR(IF($E109="07",VLOOKUP($B109,예산실적비교표!$X$7:$Z$200,2,FALSE),0),0)</f>
        <v>0</v>
      </c>
      <c r="H109" s="350">
        <f>IFERROR(IF($E109="06",VLOOKUP($C109,세출예산서!$K$3:$X$307,12,FALSE),0),0)</f>
        <v>0</v>
      </c>
      <c r="I109" s="350">
        <f>IFERROR(IF($E109="07",VLOOKUP($C109,세출예산서!$K$3:$X$307,13,FALSE),0),0)</f>
        <v>0</v>
      </c>
      <c r="J109" s="350">
        <f>IFERROR(IF($E109="05",VLOOKUP($C109,세출예산서!$K$3:$X$307,14,FALSE),0),0)</f>
        <v>0</v>
      </c>
      <c r="K109" s="350" t="str">
        <f t="shared" si="29"/>
        <v/>
      </c>
      <c r="L109" s="351">
        <f>IFERROR(IF($AB$2="",0,ROUNDUP(VLOOKUP($B109,예산실적비교표!$X$7:$Z$200,3,FALSE)*$Y$7/($Y$8-(12-$Y$10)),-2)*$Y$8),0)</f>
        <v>0</v>
      </c>
      <c r="M109" s="597" t="str">
        <f>IF($AM$1=TRUE,IF(K109="","",IF(IF($AE$2="",IF(K109="","",SUBTOTAL(2,$K$3:K109)),IF(AND(G109&gt;=0,K109=""),"",IF(AND(G109&gt;0,OR(K109&gt;0,K109&lt;0)),SUBTOTAL(2,$K$3:K109),IF(AND(G109=0,OR(K109&gt;0,K109&lt;0)),SUBTOTAL(2,$K$3:K109)+200,""))))&gt;200,"",1)),IF(K109="","",IF(IF($AE$2="",IF(K109="","",SUBTOTAL(2,$K$3:K109)),IF(AND(G109&gt;=0,K109=""),"",IF(AND(G109&gt;0,OR(K109&gt;0,K109&lt;0)),SUBTOTAL(2,$K$3:K109),IF(AND(G109=0,OR(K109&gt;0,K109&lt;0)),SUBTOTAL(2,$K$3:K109)+200,""))))&gt;200,"",1)))</f>
        <v/>
      </c>
      <c r="N109" s="161" t="str">
        <f>IF($AM$1=TRUE,IF(K109="","",IF(IF($AE$2="",IF(K109="","",SUBTOTAL(2,$K$3:K109)),IF(AND(G109&gt;=0,K109=""),"",IF(AND(G109&gt;0,OR(K109&gt;0,K109&lt;0)),SUBTOTAL(2,$K$3:K109),IF(AND(G109=0,OR(K109&gt;0,K109&lt;0)),SUBTOTAL(2,$K$3:K109)+200,""))))&lt;=200,"",2)),IF(K109="","",IF(IF($AE$2="",IF(K109="","",SUBTOTAL(2,$K$3:K109)),IF(AND(G109&gt;=0,K109=""),"",IF(AND(G109&gt;0,OR(K109&gt;0,K109&lt;0)),SUBTOTAL(2,$K$3:K109),IF(AND(G109=0,OR(K109&gt;0,K109&lt;0)),SUBTOTAL(2,$K$3:K109)+200,""))))&lt;=200,"",2)))</f>
        <v/>
      </c>
      <c r="O109" s="482"/>
      <c r="P109" s="364">
        <f t="shared" si="28"/>
        <v>0</v>
      </c>
      <c r="Q109" s="487">
        <v>0</v>
      </c>
      <c r="R109" s="441" t="s">
        <v>46</v>
      </c>
      <c r="S109" s="442" t="s">
        <v>81</v>
      </c>
      <c r="T109" s="397">
        <f t="shared" si="23"/>
        <v>0</v>
      </c>
      <c r="U109" s="495">
        <f t="shared" si="27"/>
        <v>12</v>
      </c>
      <c r="V109" s="360" t="s">
        <v>126</v>
      </c>
      <c r="AP109" s="1035" t="str">
        <f>IF(예산실적비교표!AL109&lt;&gt;"",예산실적비교표!AL109,"")</f>
        <v/>
      </c>
      <c r="AQ109" s="1036" t="str">
        <f>IF(예산실적비교표!AM109&lt;&gt;"",예산실적비교표!AM109,"")</f>
        <v/>
      </c>
      <c r="AR109" s="1037">
        <f>IF(AND(예산실적비교표!AN109&lt;&gt;"",예산실적비교표!AN109&gt;1),예산실적비교표!AN109,0)</f>
        <v>0</v>
      </c>
      <c r="AS109" s="1038">
        <f>IF(예산실적비교표!AO109&lt;&gt;"",예산실적비교표!AO109,0)</f>
        <v>0</v>
      </c>
      <c r="AT109" s="971">
        <f t="shared" si="18"/>
        <v>0</v>
      </c>
      <c r="AU109" s="1039">
        <f>IF(예산실적비교표!AQ109&lt;&gt;"",예산실적비교표!AQ109,0)</f>
        <v>0</v>
      </c>
      <c r="AV109" s="973">
        <f t="shared" si="19"/>
        <v>0</v>
      </c>
      <c r="AW109" s="974">
        <f>IF(AR109="",0,ROUND((AT109*$AT$7)*데이터입력!$AF$14+(AT109*$AU$7)*데이터입력!$AF$14+(AT109*$AU$7*$AV$7)*데이터입력!$AF$14+(AT109*$AW$7)*데이터입력!$AF$14+(AT109*$AX$7)*데이터입력!$AF$14,-1))</f>
        <v>0</v>
      </c>
      <c r="AX109" s="975">
        <f t="shared" si="20"/>
        <v>0</v>
      </c>
      <c r="AY109" s="976">
        <f>IFERROR(IF($AE$2=TRUE,IF(AR109+AS109=0,0,AR109+AS109),ROUND(IF(데이터입력!$AF$14=100%,ROUND(AR109*$AR$1,-3),ROUND(AR109*$AR$1,-3)-ROUND(((AR109*$AR$1)*$AT$4)*(데이터입력!$AF$14-100%)+((AR109*$AR$1)*$AU$4)*(데이터입력!$AF$14-100%)+((AR109*$AR$1)*$AU$4*$AV$4)*(데이터입력!$AF$14-100%)+((AR109*$AR$1)*$AW$4)*(데이터입력!$AF$14-100%),-1)),0)),0)</f>
        <v>0</v>
      </c>
      <c r="AZ109" s="977">
        <f>IFERROR(IF(AR109+AS109=0,0,IF(데이터입력!$AF$12=100%,(AT109),(AT109)+ROUND(AT109*(데이터입력!$AF$12-100%),-1))),0)</f>
        <v>0</v>
      </c>
      <c r="BA109" s="1097" t="str">
        <f>IFERROR(IF(AZ109=0,"",IF(AND(예산실적비교표!AP109&gt;0,예산실적비교표!AW109=0),"",ROUND(AZ109/12,0))),"")</f>
        <v/>
      </c>
      <c r="BB109" s="1096" t="str">
        <f>IF(BA109="","",IF(데이터입력!$O$70="",ROUND(AZ109/12,0),ROUND(데이터입력!$O$70/데이터입력!$Y$8/$BC$63,0)))</f>
        <v/>
      </c>
    </row>
    <row r="110" spans="1:54">
      <c r="A110" s="902">
        <f>IF($AM$1=TRUE,IF(K110="","",SUBTOTAL(2,$K$3:K110)),IF(AND(M110="",N110=""),"",IF(N110="",COUNT($M$3:M110),COUNT($N$3:N110)+200)))</f>
        <v>32</v>
      </c>
      <c r="B110" s="349" t="s">
        <v>73</v>
      </c>
      <c r="C110" s="349" t="s">
        <v>594</v>
      </c>
      <c r="D110" s="348">
        <v>508010201</v>
      </c>
      <c r="E110" s="348" t="s">
        <v>84</v>
      </c>
      <c r="F110" s="348" t="s">
        <v>81</v>
      </c>
      <c r="G110" s="350">
        <f>IFERROR(IF($E110="07",VLOOKUP($B110,예산실적비교표!$X$7:$Z$200,2,FALSE),0),0)</f>
        <v>10267</v>
      </c>
      <c r="H110" s="350">
        <f>IFERROR(IF($E110="06",VLOOKUP($C110,세출예산서!$K$3:$X$307,12,FALSE),0),0)</f>
        <v>0</v>
      </c>
      <c r="I110" s="350">
        <f>IFERROR(IF($E110="07",VLOOKUP($C110,세출예산서!$K$3:$X$307,13,FALSE),0),0)</f>
        <v>10000</v>
      </c>
      <c r="J110" s="350">
        <f>IFERROR(IF($E110="05",VLOOKUP($C110,세출예산서!$K$3:$X$307,14,FALSE),0),0)</f>
        <v>0</v>
      </c>
      <c r="K110" s="350">
        <f t="shared" si="29"/>
        <v>-267</v>
      </c>
      <c r="L110" s="351">
        <f>IFERROR(IF($AB$2="",0,ROUNDUP(VLOOKUP($B110,예산실적비교표!$X$7:$Z$200,3,FALSE)/($Y$8-(12-$Y$10)),-2)*$Y$8),0)</f>
        <v>0</v>
      </c>
      <c r="M110" s="597">
        <f>IF($AM$1=TRUE,IF(K110="","",IF(IF($AE$2="",IF(K110="","",SUBTOTAL(2,$K$3:K110)),IF(AND(G110&gt;=0,K110=""),"",IF(AND(G110&gt;0,OR(K110&gt;0,K110&lt;0)),SUBTOTAL(2,$K$3:K110),IF(AND(G110=0,OR(K110&gt;0,K110&lt;0)),SUBTOTAL(2,$K$3:K110)+200,""))))&gt;200,"",1)),IF(K110="","",IF(IF($AE$2="",IF(K110="","",SUBTOTAL(2,$K$3:K110)),IF(AND(G110&gt;=0,K110=""),"",IF(AND(G110&gt;0,OR(K110&gt;0,K110&lt;0)),SUBTOTAL(2,$K$3:K110),IF(AND(G110=0,OR(K110&gt;0,K110&lt;0)),SUBTOTAL(2,$K$3:K110)+200,""))))&gt;200,"",1)))</f>
        <v>1</v>
      </c>
      <c r="N110" s="161" t="str">
        <f>IF($AM$1=TRUE,IF(K110="","",IF(IF($AE$2="",IF(K110="","",SUBTOTAL(2,$K$3:K110)),IF(AND(G110&gt;=0,K110=""),"",IF(AND(G110&gt;0,OR(K110&gt;0,K110&lt;0)),SUBTOTAL(2,$K$3:K110),IF(AND(G110=0,OR(K110&gt;0,K110&lt;0)),SUBTOTAL(2,$K$3:K110)+200,""))))&lt;=200,"",2)),IF(K110="","",IF(IF($AE$2="",IF(K110="","",SUBTOTAL(2,$K$3:K110)),IF(AND(G110&gt;=0,K110=""),"",IF(AND(G110&gt;0,OR(K110&gt;0,K110&lt;0)),SUBTOTAL(2,$K$3:K110),IF(AND(G110=0,OR(K110&gt;0,K110&lt;0)),SUBTOTAL(2,$K$3:K110)+200,""))))&lt;=200,"",2)))</f>
        <v/>
      </c>
      <c r="O110" s="482"/>
      <c r="P110" s="364">
        <f t="shared" si="28"/>
        <v>0</v>
      </c>
      <c r="Q110" s="487">
        <v>0</v>
      </c>
      <c r="R110" s="441" t="s">
        <v>47</v>
      </c>
      <c r="S110" s="442" t="s">
        <v>81</v>
      </c>
      <c r="T110" s="397">
        <f t="shared" si="23"/>
        <v>0</v>
      </c>
      <c r="U110" s="495">
        <f t="shared" si="27"/>
        <v>12</v>
      </c>
      <c r="V110" s="360" t="s">
        <v>126</v>
      </c>
      <c r="AP110" s="1035" t="str">
        <f>IF(예산실적비교표!AL110&lt;&gt;"",예산실적비교표!AL110,"")</f>
        <v/>
      </c>
      <c r="AQ110" s="1036" t="str">
        <f>IF(예산실적비교표!AM110&lt;&gt;"",예산실적비교표!AM110,"")</f>
        <v/>
      </c>
      <c r="AR110" s="1037">
        <f>IF(AND(예산실적비교표!AN110&lt;&gt;"",예산실적비교표!AN110&gt;1),예산실적비교표!AN110,0)</f>
        <v>0</v>
      </c>
      <c r="AS110" s="1038">
        <f>IF(예산실적비교표!AO110&lt;&gt;"",예산실적비교표!AO110,0)</f>
        <v>0</v>
      </c>
      <c r="AT110" s="971">
        <f t="shared" si="18"/>
        <v>0</v>
      </c>
      <c r="AU110" s="1039">
        <f>IF(예산실적비교표!AQ110&lt;&gt;"",예산실적비교표!AQ110,0)</f>
        <v>0</v>
      </c>
      <c r="AV110" s="973">
        <f t="shared" si="19"/>
        <v>0</v>
      </c>
      <c r="AW110" s="974">
        <f>IF(AR110="",0,ROUND((AT110*$AT$7)*데이터입력!$AF$14+(AT110*$AU$7)*데이터입력!$AF$14+(AT110*$AU$7*$AV$7)*데이터입력!$AF$14+(AT110*$AW$7)*데이터입력!$AF$14+(AT110*$AX$7)*데이터입력!$AF$14,-1))</f>
        <v>0</v>
      </c>
      <c r="AX110" s="975">
        <f t="shared" si="20"/>
        <v>0</v>
      </c>
      <c r="AY110" s="976">
        <f>IFERROR(IF($AE$2=TRUE,IF(AR110+AS110=0,0,AR110+AS110),ROUND(IF(데이터입력!$AF$14=100%,ROUND(AR110*$AR$1,-3),ROUND(AR110*$AR$1,-3)-ROUND(((AR110*$AR$1)*$AT$4)*(데이터입력!$AF$14-100%)+((AR110*$AR$1)*$AU$4)*(데이터입력!$AF$14-100%)+((AR110*$AR$1)*$AU$4*$AV$4)*(데이터입력!$AF$14-100%)+((AR110*$AR$1)*$AW$4)*(데이터입력!$AF$14-100%),-1)),0)),0)</f>
        <v>0</v>
      </c>
      <c r="AZ110" s="977">
        <f>IFERROR(IF(AR110+AS110=0,0,IF(데이터입력!$AF$12=100%,(AT110),(AT110)+ROUND(AT110*(데이터입력!$AF$12-100%),-1))),0)</f>
        <v>0</v>
      </c>
      <c r="BA110" s="1097" t="str">
        <f>IFERROR(IF(AZ110=0,"",IF(AND(예산실적비교표!AP110&gt;0,예산실적비교표!AW110=0),"",ROUND(AZ110/12,0))),"")</f>
        <v/>
      </c>
      <c r="BB110" s="1096" t="str">
        <f>IF(BA110="","",IF(데이터입력!$O$70="",ROUND(AZ110/12,0),ROUND(데이터입력!$O$70/데이터입력!$Y$8/$BC$63,0)))</f>
        <v/>
      </c>
    </row>
    <row r="111" spans="1:54">
      <c r="A111" s="903" t="str">
        <f>IF($AM$1=TRUE,IF(K111="","",SUBTOTAL(2,$K$3:K111)),IF(AND(M111="",N111=""),"",IF(N111="",COUNT($M$3:M111),COUNT($N$3:N111)+200)))</f>
        <v/>
      </c>
      <c r="B111" s="368" t="s">
        <v>40</v>
      </c>
      <c r="C111" s="368" t="s">
        <v>595</v>
      </c>
      <c r="D111" s="367">
        <v>501010101</v>
      </c>
      <c r="E111" s="367" t="s">
        <v>85</v>
      </c>
      <c r="F111" s="367" t="s">
        <v>82</v>
      </c>
      <c r="G111" s="369">
        <f>IFERROR(IF($E111="05",VLOOKUP($B111,예산실적비교표!$AG$7:$AJ$200,2,FALSE),0),0)</f>
        <v>0</v>
      </c>
      <c r="H111" s="369">
        <f>IFERROR(IF($E111="06",VLOOKUP($C111,세출예산서!$K$3:$X$307,12,FALSE),0),0)</f>
        <v>0</v>
      </c>
      <c r="I111" s="369">
        <f>IFERROR(IF($E111="07",VLOOKUP($C111,세출예산서!$K$3:$X$307,13,FALSE),0),0)</f>
        <v>0</v>
      </c>
      <c r="J111" s="369">
        <f>IFERROR(IF($E111="05",VLOOKUP($C111,세출예산서!$K$3:$X$307,14,FALSE),0),0)</f>
        <v>0</v>
      </c>
      <c r="K111" s="369" t="str">
        <f t="shared" si="29"/>
        <v/>
      </c>
      <c r="L111" s="370">
        <f>IFERROR(IF($AB$2="",0,ROUNDUP(VLOOKUP($B111,예산실적비교표!$AG$7:$AJ$200,3,FALSE)*$Y$7/($Y$8-(12-$Y$9)),-2)*$Y$8),0)</f>
        <v>0</v>
      </c>
      <c r="M111" s="597" t="str">
        <f>IF($AM$1=TRUE,IF(K111="","",IF(IF($AE$2="",IF(K111="","",SUBTOTAL(2,$K$3:K111)),IF(AND(G111&gt;=0,K111=""),"",IF(AND(G111&gt;0,OR(K111&gt;0,K111&lt;0)),SUBTOTAL(2,$K$3:K111),IF(AND(G111=0,OR(K111&gt;0,K111&lt;0)),SUBTOTAL(2,$K$3:K111)+200,""))))&gt;200,"",1)),IF(K111="","",IF(IF($AE$2="",IF(K111="","",SUBTOTAL(2,$K$3:K111)),IF(AND(G111&gt;=0,K111=""),"",IF(AND(G111&gt;0,OR(K111&gt;0,K111&lt;0)),SUBTOTAL(2,$K$3:K111),IF(AND(G111=0,OR(K111&gt;0,K111&lt;0)),SUBTOTAL(2,$K$3:K111)+200,""))))&gt;200,"",1)))</f>
        <v/>
      </c>
      <c r="N111" s="161" t="str">
        <f>IF($AM$1=TRUE,IF(K111="","",IF(IF($AE$2="",IF(K111="","",SUBTOTAL(2,$K$3:K111)),IF(AND(G111&gt;=0,K111=""),"",IF(AND(G111&gt;0,OR(K111&gt;0,K111&lt;0)),SUBTOTAL(2,$K$3:K111),IF(AND(G111=0,OR(K111&gt;0,K111&lt;0)),SUBTOTAL(2,$K$3:K111)+200,""))))&lt;=200,"",2)),IF(K111="","",IF(IF($AE$2="",IF(K111="","",SUBTOTAL(2,$K$3:K111)),IF(AND(G111&gt;=0,K111=""),"",IF(AND(G111&gt;0,OR(K111&gt;0,K111&lt;0)),SUBTOTAL(2,$K$3:K111),IF(AND(G111=0,OR(K111&gt;0,K111&lt;0)),SUBTOTAL(2,$K$3:K111)+200,""))))&lt;=200,"",2)))</f>
        <v/>
      </c>
      <c r="O111" s="482"/>
      <c r="P111" s="364">
        <f t="shared" si="28"/>
        <v>0</v>
      </c>
      <c r="Q111" s="487">
        <v>0</v>
      </c>
      <c r="R111" s="441" t="s">
        <v>48</v>
      </c>
      <c r="S111" s="442" t="s">
        <v>81</v>
      </c>
      <c r="T111" s="397">
        <f t="shared" si="23"/>
        <v>0</v>
      </c>
      <c r="U111" s="495">
        <f t="shared" si="27"/>
        <v>12</v>
      </c>
      <c r="V111" s="360" t="s">
        <v>126</v>
      </c>
      <c r="AP111" s="1035" t="str">
        <f>IF(예산실적비교표!AL111&lt;&gt;"",예산실적비교표!AL111,"")</f>
        <v/>
      </c>
      <c r="AQ111" s="1036" t="str">
        <f>IF(예산실적비교표!AM111&lt;&gt;"",예산실적비교표!AM111,"")</f>
        <v/>
      </c>
      <c r="AR111" s="1037">
        <f>IF(AND(예산실적비교표!AN111&lt;&gt;"",예산실적비교표!AN111&gt;1),예산실적비교표!AN111,0)</f>
        <v>0</v>
      </c>
      <c r="AS111" s="1038">
        <f>IF(예산실적비교표!AO111&lt;&gt;"",예산실적비교표!AO111,0)</f>
        <v>0</v>
      </c>
      <c r="AT111" s="971">
        <f t="shared" si="18"/>
        <v>0</v>
      </c>
      <c r="AU111" s="1039">
        <f>IF(예산실적비교표!AQ111&lt;&gt;"",예산실적비교표!AQ111,0)</f>
        <v>0</v>
      </c>
      <c r="AV111" s="973">
        <f t="shared" si="19"/>
        <v>0</v>
      </c>
      <c r="AW111" s="974">
        <f>IF(AR111="",0,ROUND((AT111*$AT$7)*데이터입력!$AF$14+(AT111*$AU$7)*데이터입력!$AF$14+(AT111*$AU$7*$AV$7)*데이터입력!$AF$14+(AT111*$AW$7)*데이터입력!$AF$14+(AT111*$AX$7)*데이터입력!$AF$14,-1))</f>
        <v>0</v>
      </c>
      <c r="AX111" s="975">
        <f t="shared" si="20"/>
        <v>0</v>
      </c>
      <c r="AY111" s="976">
        <f>IFERROR(IF($AE$2=TRUE,IF(AR111+AS111=0,0,AR111+AS111),ROUND(IF(데이터입력!$AF$14=100%,ROUND(AR111*$AR$1,-3),ROUND(AR111*$AR$1,-3)-ROUND(((AR111*$AR$1)*$AT$4)*(데이터입력!$AF$14-100%)+((AR111*$AR$1)*$AU$4)*(데이터입력!$AF$14-100%)+((AR111*$AR$1)*$AU$4*$AV$4)*(데이터입력!$AF$14-100%)+((AR111*$AR$1)*$AW$4)*(데이터입력!$AF$14-100%),-1)),0)),0)</f>
        <v>0</v>
      </c>
      <c r="AZ111" s="977">
        <f>IFERROR(IF(AR111+AS111=0,0,IF(데이터입력!$AF$12=100%,(AT111),(AT111)+ROUND(AT111*(데이터입력!$AF$12-100%),-1))),0)</f>
        <v>0</v>
      </c>
      <c r="BA111" s="1097" t="str">
        <f>IFERROR(IF(AZ111=0,"",IF(AND(예산실적비교표!AP111&gt;0,예산실적비교표!AW111=0),"",ROUND(AZ111/12,0))),"")</f>
        <v/>
      </c>
      <c r="BB111" s="1096" t="str">
        <f>IF(BA111="","",IF(데이터입력!$O$70="",ROUND(AZ111/12,0),ROUND(데이터입력!$O$70/데이터입력!$Y$8/$BC$63,0)))</f>
        <v/>
      </c>
    </row>
    <row r="112" spans="1:54">
      <c r="A112" s="903" t="str">
        <f>IF($AM$1=TRUE,IF(K112="","",SUBTOTAL(2,$K$3:K112)),IF(AND(M112="",N112=""),"",IF(N112="",COUNT($M$3:M112),COUNT($N$3:N112)+200)))</f>
        <v/>
      </c>
      <c r="B112" s="368" t="s">
        <v>41</v>
      </c>
      <c r="C112" s="368" t="s">
        <v>596</v>
      </c>
      <c r="D112" s="367">
        <v>501010102</v>
      </c>
      <c r="E112" s="367" t="s">
        <v>85</v>
      </c>
      <c r="F112" s="367" t="s">
        <v>82</v>
      </c>
      <c r="G112" s="369">
        <f>IFERROR(IF($E112="05",VLOOKUP($B112,예산실적비교표!$AG$7:$AJ$200,2,FALSE),0),0)</f>
        <v>0</v>
      </c>
      <c r="H112" s="369">
        <f>IFERROR(IF($E112="06",VLOOKUP($C112,세출예산서!$K$3:$X$307,12,FALSE),0),0)</f>
        <v>0</v>
      </c>
      <c r="I112" s="369">
        <f>IFERROR(IF($E112="07",VLOOKUP($C112,세출예산서!$K$3:$X$307,13,FALSE),0),0)</f>
        <v>0</v>
      </c>
      <c r="J112" s="369">
        <f>IFERROR(IF($E112="05",VLOOKUP($C112,세출예산서!$K$3:$X$307,14,FALSE),0),0)</f>
        <v>0</v>
      </c>
      <c r="K112" s="369" t="str">
        <f t="shared" si="29"/>
        <v/>
      </c>
      <c r="L112" s="370">
        <f>IFERROR(IF($AB$2="",0,ROUNDUP(VLOOKUP($B112,예산실적비교표!$AG$7:$AJ$200,3,FALSE)*$Y$7/($Y$8-(12-$Y$9)),-2)*$Y$8),0)</f>
        <v>0</v>
      </c>
      <c r="M112" s="597" t="str">
        <f>IF($AM$1=TRUE,IF(K112="","",IF(IF($AE$2="",IF(K112="","",SUBTOTAL(2,$K$3:K112)),IF(AND(G112&gt;=0,K112=""),"",IF(AND(G112&gt;0,OR(K112&gt;0,K112&lt;0)),SUBTOTAL(2,$K$3:K112),IF(AND(G112=0,OR(K112&gt;0,K112&lt;0)),SUBTOTAL(2,$K$3:K112)+200,""))))&gt;200,"",1)),IF(K112="","",IF(IF($AE$2="",IF(K112="","",SUBTOTAL(2,$K$3:K112)),IF(AND(G112&gt;=0,K112=""),"",IF(AND(G112&gt;0,OR(K112&gt;0,K112&lt;0)),SUBTOTAL(2,$K$3:K112),IF(AND(G112=0,OR(K112&gt;0,K112&lt;0)),SUBTOTAL(2,$K$3:K112)+200,""))))&gt;200,"",1)))</f>
        <v/>
      </c>
      <c r="N112" s="161" t="str">
        <f>IF($AM$1=TRUE,IF(K112="","",IF(IF($AE$2="",IF(K112="","",SUBTOTAL(2,$K$3:K112)),IF(AND(G112&gt;=0,K112=""),"",IF(AND(G112&gt;0,OR(K112&gt;0,K112&lt;0)),SUBTOTAL(2,$K$3:K112),IF(AND(G112=0,OR(K112&gt;0,K112&lt;0)),SUBTOTAL(2,$K$3:K112)+200,""))))&lt;=200,"",2)),IF(K112="","",IF(IF($AE$2="",IF(K112="","",SUBTOTAL(2,$K$3:K112)),IF(AND(G112&gt;=0,K112=""),"",IF(AND(G112&gt;0,OR(K112&gt;0,K112&lt;0)),SUBTOTAL(2,$K$3:K112),IF(AND(G112=0,OR(K112&gt;0,K112&lt;0)),SUBTOTAL(2,$K$3:K112)+200,""))))&lt;=200,"",2)))</f>
        <v/>
      </c>
      <c r="O112" s="482"/>
      <c r="P112" s="364">
        <f t="shared" si="28"/>
        <v>0</v>
      </c>
      <c r="Q112" s="487">
        <v>0</v>
      </c>
      <c r="R112" s="441" t="s">
        <v>49</v>
      </c>
      <c r="S112" s="442" t="s">
        <v>81</v>
      </c>
      <c r="T112" s="397">
        <f t="shared" si="23"/>
        <v>0</v>
      </c>
      <c r="U112" s="495">
        <f t="shared" si="27"/>
        <v>12</v>
      </c>
      <c r="V112" s="360" t="s">
        <v>126</v>
      </c>
      <c r="AP112" s="1035" t="str">
        <f>IF(예산실적비교표!AL112&lt;&gt;"",예산실적비교표!AL112,"")</f>
        <v/>
      </c>
      <c r="AQ112" s="1036" t="str">
        <f>IF(예산실적비교표!AM112&lt;&gt;"",예산실적비교표!AM112,"")</f>
        <v/>
      </c>
      <c r="AR112" s="1037">
        <f>IF(AND(예산실적비교표!AN112&lt;&gt;"",예산실적비교표!AN112&gt;1),예산실적비교표!AN112,0)</f>
        <v>0</v>
      </c>
      <c r="AS112" s="1038">
        <f>IF(예산실적비교표!AO112&lt;&gt;"",예산실적비교표!AO112,0)</f>
        <v>0</v>
      </c>
      <c r="AT112" s="971">
        <f t="shared" si="18"/>
        <v>0</v>
      </c>
      <c r="AU112" s="1039">
        <f>IF(예산실적비교표!AQ112&lt;&gt;"",예산실적비교표!AQ112,0)</f>
        <v>0</v>
      </c>
      <c r="AV112" s="973">
        <f t="shared" si="19"/>
        <v>0</v>
      </c>
      <c r="AW112" s="974">
        <f>IF(AR112="",0,ROUND((AT112*$AT$7)*데이터입력!$AF$14+(AT112*$AU$7)*데이터입력!$AF$14+(AT112*$AU$7*$AV$7)*데이터입력!$AF$14+(AT112*$AW$7)*데이터입력!$AF$14+(AT112*$AX$7)*데이터입력!$AF$14,-1))</f>
        <v>0</v>
      </c>
      <c r="AX112" s="975">
        <f t="shared" si="20"/>
        <v>0</v>
      </c>
      <c r="AY112" s="976">
        <f>IFERROR(IF($AE$2=TRUE,IF(AR112+AS112=0,0,AR112+AS112),ROUND(IF(데이터입력!$AF$14=100%,ROUND(AR112*$AR$1,-3),ROUND(AR112*$AR$1,-3)-ROUND(((AR112*$AR$1)*$AT$4)*(데이터입력!$AF$14-100%)+((AR112*$AR$1)*$AU$4)*(데이터입력!$AF$14-100%)+((AR112*$AR$1)*$AU$4*$AV$4)*(데이터입력!$AF$14-100%)+((AR112*$AR$1)*$AW$4)*(데이터입력!$AF$14-100%),-1)),0)),0)</f>
        <v>0</v>
      </c>
      <c r="AZ112" s="977">
        <f>IFERROR(IF(AR112+AS112=0,0,IF(데이터입력!$AF$12=100%,(AT112),(AT112)+ROUND(AT112*(데이터입력!$AF$12-100%),-1))),0)</f>
        <v>0</v>
      </c>
      <c r="BA112" s="1097" t="str">
        <f>IFERROR(IF(AZ112=0,"",IF(AND(예산실적비교표!AP112&gt;0,예산실적비교표!AW112=0),"",ROUND(AZ112/12,0))),"")</f>
        <v/>
      </c>
      <c r="BB112" s="1096" t="str">
        <f>IF(BA112="","",IF(데이터입력!$O$70="",ROUND(AZ112/12,0),ROUND(데이터입력!$O$70/데이터입력!$Y$8/$BC$63,0)))</f>
        <v/>
      </c>
    </row>
    <row r="113" spans="1:54">
      <c r="A113" s="903" t="str">
        <f>IF($AM$1=TRUE,IF(K113="","",SUBTOTAL(2,$K$3:K113)),IF(AND(M113="",N113=""),"",IF(N113="",COUNT($M$3:M113),COUNT($N$3:N113)+200)))</f>
        <v/>
      </c>
      <c r="B113" s="368" t="s">
        <v>42</v>
      </c>
      <c r="C113" s="368" t="s">
        <v>597</v>
      </c>
      <c r="D113" s="367">
        <v>501010201</v>
      </c>
      <c r="E113" s="367" t="s">
        <v>85</v>
      </c>
      <c r="F113" s="367" t="s">
        <v>82</v>
      </c>
      <c r="G113" s="369">
        <f>IFERROR(IF($E113="05",VLOOKUP($B113,예산실적비교표!$AG$7:$AJ$200,2,FALSE),0),0)</f>
        <v>0</v>
      </c>
      <c r="H113" s="369">
        <f>IFERROR(IF($E113="06",VLOOKUP($C113,세출예산서!$K$3:$X$307,12,FALSE),0),0)</f>
        <v>0</v>
      </c>
      <c r="I113" s="369">
        <f>IFERROR(IF($E113="07",VLOOKUP($C113,세출예산서!$K$3:$X$307,13,FALSE),0),0)</f>
        <v>0</v>
      </c>
      <c r="J113" s="369">
        <f>IFERROR(IF($E113="05",VLOOKUP($C113,세출예산서!$K$3:$X$307,14,FALSE),0),0)</f>
        <v>0</v>
      </c>
      <c r="K113" s="369" t="str">
        <f t="shared" si="29"/>
        <v/>
      </c>
      <c r="L113" s="370">
        <f>IFERROR(IF($AB$2="",0,ROUNDUP(VLOOKUP($B113,예산실적비교표!$AG$7:$AJ$200,3,FALSE)*$Y$7/($Y$8-(12-$Y$9)),-2)*$Y$8),0)</f>
        <v>0</v>
      </c>
      <c r="M113" s="597" t="str">
        <f>IF($AM$1=TRUE,IF(K113="","",IF(IF($AE$2="",IF(K113="","",SUBTOTAL(2,$K$3:K113)),IF(AND(G113&gt;=0,K113=""),"",IF(AND(G113&gt;0,OR(K113&gt;0,K113&lt;0)),SUBTOTAL(2,$K$3:K113),IF(AND(G113=0,OR(K113&gt;0,K113&lt;0)),SUBTOTAL(2,$K$3:K113)+200,""))))&gt;200,"",1)),IF(K113="","",IF(IF($AE$2="",IF(K113="","",SUBTOTAL(2,$K$3:K113)),IF(AND(G113&gt;=0,K113=""),"",IF(AND(G113&gt;0,OR(K113&gt;0,K113&lt;0)),SUBTOTAL(2,$K$3:K113),IF(AND(G113=0,OR(K113&gt;0,K113&lt;0)),SUBTOTAL(2,$K$3:K113)+200,""))))&gt;200,"",1)))</f>
        <v/>
      </c>
      <c r="N113" s="161" t="str">
        <f>IF($AM$1=TRUE,IF(K113="","",IF(IF($AE$2="",IF(K113="","",SUBTOTAL(2,$K$3:K113)),IF(AND(G113&gt;=0,K113=""),"",IF(AND(G113&gt;0,OR(K113&gt;0,K113&lt;0)),SUBTOTAL(2,$K$3:K113),IF(AND(G113=0,OR(K113&gt;0,K113&lt;0)),SUBTOTAL(2,$K$3:K113)+200,""))))&lt;=200,"",2)),IF(K113="","",IF(IF($AE$2="",IF(K113="","",SUBTOTAL(2,$K$3:K113)),IF(AND(G113&gt;=0,K113=""),"",IF(AND(G113&gt;0,OR(K113&gt;0,K113&lt;0)),SUBTOTAL(2,$K$3:K113),IF(AND(G113=0,OR(K113&gt;0,K113&lt;0)),SUBTOTAL(2,$K$3:K113)+200,""))))&lt;=200,"",2)))</f>
        <v/>
      </c>
      <c r="O113" s="482"/>
      <c r="P113" s="364">
        <f t="shared" si="28"/>
        <v>0</v>
      </c>
      <c r="Q113" s="487">
        <v>0</v>
      </c>
      <c r="R113" s="441" t="s">
        <v>50</v>
      </c>
      <c r="S113" s="442" t="s">
        <v>81</v>
      </c>
      <c r="T113" s="397">
        <f t="shared" si="23"/>
        <v>0</v>
      </c>
      <c r="U113" s="495">
        <f t="shared" si="27"/>
        <v>12</v>
      </c>
      <c r="V113" s="360" t="s">
        <v>126</v>
      </c>
      <c r="AP113" s="1035" t="str">
        <f>IF(예산실적비교표!AL113&lt;&gt;"",예산실적비교표!AL113,"")</f>
        <v/>
      </c>
      <c r="AQ113" s="1036" t="str">
        <f>IF(예산실적비교표!AM113&lt;&gt;"",예산실적비교표!AM113,"")</f>
        <v/>
      </c>
      <c r="AR113" s="1037">
        <f>IF(AND(예산실적비교표!AN113&lt;&gt;"",예산실적비교표!AN113&gt;1),예산실적비교표!AN113,0)</f>
        <v>0</v>
      </c>
      <c r="AS113" s="1038">
        <f>IF(예산실적비교표!AO113&lt;&gt;"",예산실적비교표!AO113,0)</f>
        <v>0</v>
      </c>
      <c r="AT113" s="971">
        <f t="shared" si="18"/>
        <v>0</v>
      </c>
      <c r="AU113" s="1039">
        <f>IF(예산실적비교표!AQ113&lt;&gt;"",예산실적비교표!AQ113,0)</f>
        <v>0</v>
      </c>
      <c r="AV113" s="973">
        <f t="shared" si="19"/>
        <v>0</v>
      </c>
      <c r="AW113" s="974">
        <f>IF(AR113="",0,ROUND((AT113*$AT$7)*데이터입력!$AF$14+(AT113*$AU$7)*데이터입력!$AF$14+(AT113*$AU$7*$AV$7)*데이터입력!$AF$14+(AT113*$AW$7)*데이터입력!$AF$14+(AT113*$AX$7)*데이터입력!$AF$14,-1))</f>
        <v>0</v>
      </c>
      <c r="AX113" s="975">
        <f t="shared" si="20"/>
        <v>0</v>
      </c>
      <c r="AY113" s="976">
        <f>IFERROR(IF($AE$2=TRUE,IF(AR113+AS113=0,0,AR113+AS113),ROUND(IF(데이터입력!$AF$14=100%,ROUND(AR113*$AR$1,-3),ROUND(AR113*$AR$1,-3)-ROUND(((AR113*$AR$1)*$AT$4)*(데이터입력!$AF$14-100%)+((AR113*$AR$1)*$AU$4)*(데이터입력!$AF$14-100%)+((AR113*$AR$1)*$AU$4*$AV$4)*(데이터입력!$AF$14-100%)+((AR113*$AR$1)*$AW$4)*(데이터입력!$AF$14-100%),-1)),0)),0)</f>
        <v>0</v>
      </c>
      <c r="AZ113" s="977">
        <f>IFERROR(IF(AR113+AS113=0,0,IF(데이터입력!$AF$12=100%,(AT113),(AT113)+ROUND(AT113*(데이터입력!$AF$12-100%),-1))),0)</f>
        <v>0</v>
      </c>
      <c r="BA113" s="1097" t="str">
        <f>IFERROR(IF(AZ113=0,"",IF(AND(예산실적비교표!AP113&gt;0,예산실적비교표!AW113=0),"",ROUND(AZ113/12,0))),"")</f>
        <v/>
      </c>
      <c r="BB113" s="1096" t="str">
        <f>IF(BA113="","",IF(데이터입력!$O$70="",ROUND(AZ113/12,0),ROUND(데이터입력!$O$70/데이터입력!$Y$8/$BC$63,0)))</f>
        <v/>
      </c>
    </row>
    <row r="114" spans="1:54">
      <c r="A114" s="903" t="str">
        <f>IF($AM$1=TRUE,IF(K114="","",SUBTOTAL(2,$K$3:K114)),IF(AND(M114="",N114=""),"",IF(N114="",COUNT($M$3:M114),COUNT($N$3:N114)+200)))</f>
        <v/>
      </c>
      <c r="B114" s="368" t="s">
        <v>43</v>
      </c>
      <c r="C114" s="368" t="s">
        <v>598</v>
      </c>
      <c r="D114" s="367">
        <v>501010202</v>
      </c>
      <c r="E114" s="367" t="s">
        <v>85</v>
      </c>
      <c r="F114" s="367" t="s">
        <v>82</v>
      </c>
      <c r="G114" s="369">
        <f>IFERROR(IF($E114="05",VLOOKUP($B114,예산실적비교표!$AG$7:$AJ$200,2,FALSE),0),0)</f>
        <v>0</v>
      </c>
      <c r="H114" s="369">
        <f>IFERROR(IF($E114="06",VLOOKUP($C114,세출예산서!$K$3:$X$307,12,FALSE),0),0)</f>
        <v>0</v>
      </c>
      <c r="I114" s="369">
        <f>IFERROR(IF($E114="07",VLOOKUP($C114,세출예산서!$K$3:$X$307,13,FALSE),0),0)</f>
        <v>0</v>
      </c>
      <c r="J114" s="369">
        <f>IFERROR(IF($E114="05",VLOOKUP($C114,세출예산서!$K$3:$X$307,14,FALSE),0),0)</f>
        <v>0</v>
      </c>
      <c r="K114" s="369" t="str">
        <f t="shared" si="29"/>
        <v/>
      </c>
      <c r="L114" s="370">
        <f>IFERROR(IF($AB$2="",0,ROUNDUP(VLOOKUP($B114,예산실적비교표!$AG$7:$AJ$200,3,FALSE)*$Y$7/($Y$8-(12-$Y$9)),-2)*$Y$8),0)</f>
        <v>0</v>
      </c>
      <c r="M114" s="597" t="str">
        <f>IF($AM$1=TRUE,IF(K114="","",IF(IF($AE$2="",IF(K114="","",SUBTOTAL(2,$K$3:K114)),IF(AND(G114&gt;=0,K114=""),"",IF(AND(G114&gt;0,OR(K114&gt;0,K114&lt;0)),SUBTOTAL(2,$K$3:K114),IF(AND(G114=0,OR(K114&gt;0,K114&lt;0)),SUBTOTAL(2,$K$3:K114)+200,""))))&gt;200,"",1)),IF(K114="","",IF(IF($AE$2="",IF(K114="","",SUBTOTAL(2,$K$3:K114)),IF(AND(G114&gt;=0,K114=""),"",IF(AND(G114&gt;0,OR(K114&gt;0,K114&lt;0)),SUBTOTAL(2,$K$3:K114),IF(AND(G114=0,OR(K114&gt;0,K114&lt;0)),SUBTOTAL(2,$K$3:K114)+200,""))))&gt;200,"",1)))</f>
        <v/>
      </c>
      <c r="N114" s="161" t="str">
        <f>IF($AM$1=TRUE,IF(K114="","",IF(IF($AE$2="",IF(K114="","",SUBTOTAL(2,$K$3:K114)),IF(AND(G114&gt;=0,K114=""),"",IF(AND(G114&gt;0,OR(K114&gt;0,K114&lt;0)),SUBTOTAL(2,$K$3:K114),IF(AND(G114=0,OR(K114&gt;0,K114&lt;0)),SUBTOTAL(2,$K$3:K114)+200,""))))&lt;=200,"",2)),IF(K114="","",IF(IF($AE$2="",IF(K114="","",SUBTOTAL(2,$K$3:K114)),IF(AND(G114&gt;=0,K114=""),"",IF(AND(G114&gt;0,OR(K114&gt;0,K114&lt;0)),SUBTOTAL(2,$K$3:K114),IF(AND(G114=0,OR(K114&gt;0,K114&lt;0)),SUBTOTAL(2,$K$3:K114)+200,""))))&lt;=200,"",2)))</f>
        <v/>
      </c>
      <c r="O114" s="482"/>
      <c r="P114" s="364">
        <f t="shared" si="28"/>
        <v>0</v>
      </c>
      <c r="Q114" s="487">
        <v>0</v>
      </c>
      <c r="R114" s="441" t="s">
        <v>51</v>
      </c>
      <c r="S114" s="442" t="s">
        <v>81</v>
      </c>
      <c r="T114" s="397">
        <f t="shared" si="23"/>
        <v>0</v>
      </c>
      <c r="U114" s="495">
        <f t="shared" si="27"/>
        <v>12</v>
      </c>
      <c r="V114" s="360" t="s">
        <v>126</v>
      </c>
      <c r="AP114" s="1035" t="str">
        <f>IF(예산실적비교표!AL114&lt;&gt;"",예산실적비교표!AL114,"")</f>
        <v/>
      </c>
      <c r="AQ114" s="1036" t="str">
        <f>IF(예산실적비교표!AM114&lt;&gt;"",예산실적비교표!AM114,"")</f>
        <v/>
      </c>
      <c r="AR114" s="1037">
        <f>IF(AND(예산실적비교표!AN114&lt;&gt;"",예산실적비교표!AN114&gt;1),예산실적비교표!AN114,0)</f>
        <v>0</v>
      </c>
      <c r="AS114" s="1038">
        <f>IF(예산실적비교표!AO114&lt;&gt;"",예산실적비교표!AO114,0)</f>
        <v>0</v>
      </c>
      <c r="AT114" s="971">
        <f t="shared" si="18"/>
        <v>0</v>
      </c>
      <c r="AU114" s="1039">
        <f>IF(예산실적비교표!AQ114&lt;&gt;"",예산실적비교표!AQ114,0)</f>
        <v>0</v>
      </c>
      <c r="AV114" s="973">
        <f t="shared" si="19"/>
        <v>0</v>
      </c>
      <c r="AW114" s="974">
        <f>IF(AR114="",0,ROUND((AT114*$AT$7)*데이터입력!$AF$14+(AT114*$AU$7)*데이터입력!$AF$14+(AT114*$AU$7*$AV$7)*데이터입력!$AF$14+(AT114*$AW$7)*데이터입력!$AF$14+(AT114*$AX$7)*데이터입력!$AF$14,-1))</f>
        <v>0</v>
      </c>
      <c r="AX114" s="975">
        <f t="shared" si="20"/>
        <v>0</v>
      </c>
      <c r="AY114" s="976">
        <f>IFERROR(IF($AE$2=TRUE,IF(AR114+AS114=0,0,AR114+AS114),ROUND(IF(데이터입력!$AF$14=100%,ROUND(AR114*$AR$1,-3),ROUND(AR114*$AR$1,-3)-ROUND(((AR114*$AR$1)*$AT$4)*(데이터입력!$AF$14-100%)+((AR114*$AR$1)*$AU$4)*(데이터입력!$AF$14-100%)+((AR114*$AR$1)*$AU$4*$AV$4)*(데이터입력!$AF$14-100%)+((AR114*$AR$1)*$AW$4)*(데이터입력!$AF$14-100%),-1)),0)),0)</f>
        <v>0</v>
      </c>
      <c r="AZ114" s="977">
        <f>IFERROR(IF(AR114+AS114=0,0,IF(데이터입력!$AF$12=100%,(AT114),(AT114)+ROUND(AT114*(데이터입력!$AF$12-100%),-1))),0)</f>
        <v>0</v>
      </c>
      <c r="BA114" s="1097" t="str">
        <f>IFERROR(IF(AZ114=0,"",IF(AND(예산실적비교표!AP114&gt;0,예산실적비교표!AW114=0),"",ROUND(AZ114/12,0))),"")</f>
        <v/>
      </c>
      <c r="BB114" s="1096" t="str">
        <f>IF(BA114="","",IF(데이터입력!$O$70="",ROUND(AZ114/12,0),ROUND(데이터입력!$O$70/데이터입력!$Y$8/$BC$63,0)))</f>
        <v/>
      </c>
    </row>
    <row r="115" spans="1:54">
      <c r="A115" s="903" t="str">
        <f>IF($AM$1=TRUE,IF(K115="","",SUBTOTAL(2,$K$3:K115)),IF(AND(M115="",N115=""),"",IF(N115="",COUNT($M$3:M115),COUNT($N$3:N115)+200)))</f>
        <v/>
      </c>
      <c r="B115" s="368" t="s">
        <v>44</v>
      </c>
      <c r="C115" s="368" t="s">
        <v>599</v>
      </c>
      <c r="D115" s="367">
        <v>501010301</v>
      </c>
      <c r="E115" s="367" t="s">
        <v>85</v>
      </c>
      <c r="F115" s="367" t="s">
        <v>82</v>
      </c>
      <c r="G115" s="369">
        <f>IFERROR(IF($E115="05",VLOOKUP($B115,예산실적비교표!$AG$7:$AJ$200,2,FALSE),0),0)</f>
        <v>0</v>
      </c>
      <c r="H115" s="369">
        <f>IFERROR(IF($E115="06",VLOOKUP($C115,세출예산서!$K$3:$X$307,12,FALSE),0),0)</f>
        <v>0</v>
      </c>
      <c r="I115" s="369">
        <f>IFERROR(IF($E115="07",VLOOKUP($C115,세출예산서!$K$3:$X$307,13,FALSE),0),0)</f>
        <v>0</v>
      </c>
      <c r="J115" s="369">
        <f>IFERROR(IF($E115="05",VLOOKUP($C115,세출예산서!$K$3:$X$307,14,FALSE),0),0)</f>
        <v>0</v>
      </c>
      <c r="K115" s="369" t="str">
        <f t="shared" si="29"/>
        <v/>
      </c>
      <c r="L115" s="370">
        <f>IFERROR(IF($AB$2="",0,ROUNDUP(VLOOKUP($B115,예산실적비교표!$AG$7:$AJ$200,3,FALSE)*$Y$7/($Y$8-(12-$Y$9)),-2)*$Y$8),0)</f>
        <v>0</v>
      </c>
      <c r="M115" s="597" t="str">
        <f>IF($AM$1=TRUE,IF(K115="","",IF(IF($AE$2="",IF(K115="","",SUBTOTAL(2,$K$3:K115)),IF(AND(G115&gt;=0,K115=""),"",IF(AND(G115&gt;0,OR(K115&gt;0,K115&lt;0)),SUBTOTAL(2,$K$3:K115),IF(AND(G115=0,OR(K115&gt;0,K115&lt;0)),SUBTOTAL(2,$K$3:K115)+200,""))))&gt;200,"",1)),IF(K115="","",IF(IF($AE$2="",IF(K115="","",SUBTOTAL(2,$K$3:K115)),IF(AND(G115&gt;=0,K115=""),"",IF(AND(G115&gt;0,OR(K115&gt;0,K115&lt;0)),SUBTOTAL(2,$K$3:K115),IF(AND(G115=0,OR(K115&gt;0,K115&lt;0)),SUBTOTAL(2,$K$3:K115)+200,""))))&gt;200,"",1)))</f>
        <v/>
      </c>
      <c r="N115" s="161" t="str">
        <f>IF($AM$1=TRUE,IF(K115="","",IF(IF($AE$2="",IF(K115="","",SUBTOTAL(2,$K$3:K115)),IF(AND(G115&gt;=0,K115=""),"",IF(AND(G115&gt;0,OR(K115&gt;0,K115&lt;0)),SUBTOTAL(2,$K$3:K115),IF(AND(G115=0,OR(K115&gt;0,K115&lt;0)),SUBTOTAL(2,$K$3:K115)+200,""))))&lt;=200,"",2)),IF(K115="","",IF(IF($AE$2="",IF(K115="","",SUBTOTAL(2,$K$3:K115)),IF(AND(G115&gt;=0,K115=""),"",IF(AND(G115&gt;0,OR(K115&gt;0,K115&lt;0)),SUBTOTAL(2,$K$3:K115),IF(AND(G115=0,OR(K115&gt;0,K115&lt;0)),SUBTOTAL(2,$K$3:K115)+200,""))))&lt;=200,"",2)))</f>
        <v/>
      </c>
      <c r="O115" s="482"/>
      <c r="P115" s="364">
        <f t="shared" si="28"/>
        <v>0</v>
      </c>
      <c r="Q115" s="487">
        <v>0</v>
      </c>
      <c r="R115" s="441" t="s">
        <v>52</v>
      </c>
      <c r="S115" s="442" t="s">
        <v>81</v>
      </c>
      <c r="T115" s="397">
        <f t="shared" si="23"/>
        <v>0</v>
      </c>
      <c r="U115" s="495">
        <f t="shared" si="27"/>
        <v>12</v>
      </c>
      <c r="V115" s="360" t="s">
        <v>126</v>
      </c>
      <c r="AP115" s="1035" t="str">
        <f>IF(예산실적비교표!AL115&lt;&gt;"",예산실적비교표!AL115,"")</f>
        <v/>
      </c>
      <c r="AQ115" s="1036" t="str">
        <f>IF(예산실적비교표!AM115&lt;&gt;"",예산실적비교표!AM115,"")</f>
        <v/>
      </c>
      <c r="AR115" s="1037">
        <f>IF(AND(예산실적비교표!AN115&lt;&gt;"",예산실적비교표!AN115&gt;1),예산실적비교표!AN115,0)</f>
        <v>0</v>
      </c>
      <c r="AS115" s="1038">
        <f>IF(예산실적비교표!AO115&lt;&gt;"",예산실적비교표!AO115,0)</f>
        <v>0</v>
      </c>
      <c r="AT115" s="971">
        <f t="shared" si="18"/>
        <v>0</v>
      </c>
      <c r="AU115" s="1039">
        <f>IF(예산실적비교표!AQ115&lt;&gt;"",예산실적비교표!AQ115,0)</f>
        <v>0</v>
      </c>
      <c r="AV115" s="973">
        <f t="shared" si="19"/>
        <v>0</v>
      </c>
      <c r="AW115" s="974">
        <f>IF(AR115="",0,ROUND((AT115*$AT$7)*데이터입력!$AF$14+(AT115*$AU$7)*데이터입력!$AF$14+(AT115*$AU$7*$AV$7)*데이터입력!$AF$14+(AT115*$AW$7)*데이터입력!$AF$14+(AT115*$AX$7)*데이터입력!$AF$14,-1))</f>
        <v>0</v>
      </c>
      <c r="AX115" s="975">
        <f t="shared" si="20"/>
        <v>0</v>
      </c>
      <c r="AY115" s="976">
        <f>IFERROR(IF($AE$2=TRUE,IF(AR115+AS115=0,0,AR115+AS115),ROUND(IF(데이터입력!$AF$14=100%,ROUND(AR115*$AR$1,-3),ROUND(AR115*$AR$1,-3)-ROUND(((AR115*$AR$1)*$AT$4)*(데이터입력!$AF$14-100%)+((AR115*$AR$1)*$AU$4)*(데이터입력!$AF$14-100%)+((AR115*$AR$1)*$AU$4*$AV$4)*(데이터입력!$AF$14-100%)+((AR115*$AR$1)*$AW$4)*(데이터입력!$AF$14-100%),-1)),0)),0)</f>
        <v>0</v>
      </c>
      <c r="AZ115" s="977">
        <f>IFERROR(IF(AR115+AS115=0,0,IF(데이터입력!$AF$12=100%,(AT115),(AT115)+ROUND(AT115*(데이터입력!$AF$12-100%),-1))),0)</f>
        <v>0</v>
      </c>
      <c r="BA115" s="1097" t="str">
        <f>IFERROR(IF(AZ115=0,"",IF(AND(예산실적비교표!AP115&gt;0,예산실적비교표!AW115=0),"",ROUND(AZ115/12,0))),"")</f>
        <v/>
      </c>
      <c r="BB115" s="1096" t="str">
        <f>IF(BA115="","",IF(데이터입력!$O$70="",ROUND(AZ115/12,0),ROUND(데이터입력!$O$70/데이터입력!$Y$8/$BC$63,0)))</f>
        <v/>
      </c>
    </row>
    <row r="116" spans="1:54">
      <c r="A116" s="903" t="str">
        <f>IF($AM$1=TRUE,IF(K116="","",SUBTOTAL(2,$K$3:K116)),IF(AND(M116="",N116=""),"",IF(N116="",COUNT($M$3:M116),COUNT($N$3:N116)+200)))</f>
        <v/>
      </c>
      <c r="B116" s="368" t="s">
        <v>45</v>
      </c>
      <c r="C116" s="368" t="s">
        <v>600</v>
      </c>
      <c r="D116" s="367">
        <v>501010302</v>
      </c>
      <c r="E116" s="367" t="s">
        <v>85</v>
      </c>
      <c r="F116" s="367" t="s">
        <v>82</v>
      </c>
      <c r="G116" s="369">
        <f>IFERROR(IF($E116="05",VLOOKUP($B116,예산실적비교표!$AG$7:$AJ$200,2,FALSE),0),0)</f>
        <v>0</v>
      </c>
      <c r="H116" s="369">
        <f>IFERROR(IF($E116="06",VLOOKUP($C116,세출예산서!$K$3:$X$307,12,FALSE),0),0)</f>
        <v>0</v>
      </c>
      <c r="I116" s="369">
        <f>IFERROR(IF($E116="07",VLOOKUP($C116,세출예산서!$K$3:$X$307,13,FALSE),0),0)</f>
        <v>0</v>
      </c>
      <c r="J116" s="369">
        <f>IFERROR(IF($E116="05",VLOOKUP($C116,세출예산서!$K$3:$X$307,14,FALSE),0),0)</f>
        <v>0</v>
      </c>
      <c r="K116" s="369" t="str">
        <f t="shared" si="29"/>
        <v/>
      </c>
      <c r="L116" s="370">
        <f>IFERROR(IF($AB$2="",0,ROUNDUP(VLOOKUP($B116,예산실적비교표!$AG$7:$AJ$200,3,FALSE)*$Y$7/($Y$8-(12-$Y$9)),-2)*$Y$8),0)</f>
        <v>0</v>
      </c>
      <c r="M116" s="597" t="str">
        <f>IF($AM$1=TRUE,IF(K116="","",IF(IF($AE$2="",IF(K116="","",SUBTOTAL(2,$K$3:K116)),IF(AND(G116&gt;=0,K116=""),"",IF(AND(G116&gt;0,OR(K116&gt;0,K116&lt;0)),SUBTOTAL(2,$K$3:K116),IF(AND(G116=0,OR(K116&gt;0,K116&lt;0)),SUBTOTAL(2,$K$3:K116)+200,""))))&gt;200,"",1)),IF(K116="","",IF(IF($AE$2="",IF(K116="","",SUBTOTAL(2,$K$3:K116)),IF(AND(G116&gt;=0,K116=""),"",IF(AND(G116&gt;0,OR(K116&gt;0,K116&lt;0)),SUBTOTAL(2,$K$3:K116),IF(AND(G116=0,OR(K116&gt;0,K116&lt;0)),SUBTOTAL(2,$K$3:K116)+200,""))))&gt;200,"",1)))</f>
        <v/>
      </c>
      <c r="N116" s="161" t="str">
        <f>IF($AM$1=TRUE,IF(K116="","",IF(IF($AE$2="",IF(K116="","",SUBTOTAL(2,$K$3:K116)),IF(AND(G116&gt;=0,K116=""),"",IF(AND(G116&gt;0,OR(K116&gt;0,K116&lt;0)),SUBTOTAL(2,$K$3:K116),IF(AND(G116=0,OR(K116&gt;0,K116&lt;0)),SUBTOTAL(2,$K$3:K116)+200,""))))&lt;=200,"",2)),IF(K116="","",IF(IF($AE$2="",IF(K116="","",SUBTOTAL(2,$K$3:K116)),IF(AND(G116&gt;=0,K116=""),"",IF(AND(G116&gt;0,OR(K116&gt;0,K116&lt;0)),SUBTOTAL(2,$K$3:K116),IF(AND(G116=0,OR(K116&gt;0,K116&lt;0)),SUBTOTAL(2,$K$3:K116)+200,""))))&lt;=200,"",2)))</f>
        <v/>
      </c>
      <c r="O116" s="482"/>
      <c r="P116" s="364">
        <f t="shared" si="28"/>
        <v>0</v>
      </c>
      <c r="Q116" s="487">
        <v>0</v>
      </c>
      <c r="R116" s="441" t="s">
        <v>53</v>
      </c>
      <c r="S116" s="442" t="s">
        <v>81</v>
      </c>
      <c r="T116" s="397">
        <f t="shared" si="23"/>
        <v>0</v>
      </c>
      <c r="U116" s="495">
        <f t="shared" si="27"/>
        <v>12</v>
      </c>
      <c r="V116" s="360" t="s">
        <v>126</v>
      </c>
      <c r="AP116" s="1035" t="str">
        <f>IF(예산실적비교표!AL116&lt;&gt;"",예산실적비교표!AL116,"")</f>
        <v/>
      </c>
      <c r="AQ116" s="1036" t="str">
        <f>IF(예산실적비교표!AM116&lt;&gt;"",예산실적비교표!AM116,"")</f>
        <v/>
      </c>
      <c r="AR116" s="1037">
        <f>IF(AND(예산실적비교표!AN116&lt;&gt;"",예산실적비교표!AN116&gt;1),예산실적비교표!AN116,0)</f>
        <v>0</v>
      </c>
      <c r="AS116" s="1038">
        <f>IF(예산실적비교표!AO116&lt;&gt;"",예산실적비교표!AO116,0)</f>
        <v>0</v>
      </c>
      <c r="AT116" s="971">
        <f t="shared" si="18"/>
        <v>0</v>
      </c>
      <c r="AU116" s="1039">
        <f>IF(예산실적비교표!AQ116&lt;&gt;"",예산실적비교표!AQ116,0)</f>
        <v>0</v>
      </c>
      <c r="AV116" s="973">
        <f t="shared" si="19"/>
        <v>0</v>
      </c>
      <c r="AW116" s="974">
        <f>IF(AR116="",0,ROUND((AT116*$AT$7)*데이터입력!$AF$14+(AT116*$AU$7)*데이터입력!$AF$14+(AT116*$AU$7*$AV$7)*데이터입력!$AF$14+(AT116*$AW$7)*데이터입력!$AF$14+(AT116*$AX$7)*데이터입력!$AF$14,-1))</f>
        <v>0</v>
      </c>
      <c r="AX116" s="975">
        <f t="shared" si="20"/>
        <v>0</v>
      </c>
      <c r="AY116" s="976">
        <f>IFERROR(IF($AE$2=TRUE,IF(AR116+AS116=0,0,AR116+AS116),ROUND(IF(데이터입력!$AF$14=100%,ROUND(AR116*$AR$1,-3),ROUND(AR116*$AR$1,-3)-ROUND(((AR116*$AR$1)*$AT$4)*(데이터입력!$AF$14-100%)+((AR116*$AR$1)*$AU$4)*(데이터입력!$AF$14-100%)+((AR116*$AR$1)*$AU$4*$AV$4)*(데이터입력!$AF$14-100%)+((AR116*$AR$1)*$AW$4)*(데이터입력!$AF$14-100%),-1)),0)),0)</f>
        <v>0</v>
      </c>
      <c r="AZ116" s="977">
        <f>IFERROR(IF(AR116+AS116=0,0,IF(데이터입력!$AF$12=100%,(AT116),(AT116)+ROUND(AT116*(데이터입력!$AF$12-100%),-1))),0)</f>
        <v>0</v>
      </c>
      <c r="BA116" s="1097" t="str">
        <f>IFERROR(IF(AZ116=0,"",IF(AND(예산실적비교표!AP116&gt;0,예산실적비교표!AW116=0),"",ROUND(AZ116/12,0))),"")</f>
        <v/>
      </c>
      <c r="BB116" s="1096" t="str">
        <f>IF(BA116="","",IF(데이터입력!$O$70="",ROUND(AZ116/12,0),ROUND(데이터입력!$O$70/데이터입력!$Y$8/$BC$63,0)))</f>
        <v/>
      </c>
    </row>
    <row r="117" spans="1:54">
      <c r="A117" s="903" t="str">
        <f>IF($AM$1=TRUE,IF(K117="","",SUBTOTAL(2,$K$3:K117)),IF(AND(M117="",N117=""),"",IF(N117="",COUNT($M$3:M117),COUNT($N$3:N117)+200)))</f>
        <v/>
      </c>
      <c r="B117" s="368" t="s">
        <v>46</v>
      </c>
      <c r="C117" s="368" t="s">
        <v>601</v>
      </c>
      <c r="D117" s="367">
        <v>501010501</v>
      </c>
      <c r="E117" s="367" t="s">
        <v>85</v>
      </c>
      <c r="F117" s="367" t="s">
        <v>82</v>
      </c>
      <c r="G117" s="369">
        <f>IFERROR(IF($E117="05",VLOOKUP($B117,예산실적비교표!$AG$7:$AJ$200,2,FALSE),0),0)</f>
        <v>0</v>
      </c>
      <c r="H117" s="369">
        <f>IFERROR(IF($E117="06",VLOOKUP($C117,세출예산서!$K$3:$X$307,12,FALSE),0),0)</f>
        <v>0</v>
      </c>
      <c r="I117" s="369">
        <f>IFERROR(IF($E117="07",VLOOKUP($C117,세출예산서!$K$3:$X$307,13,FALSE),0),0)</f>
        <v>0</v>
      </c>
      <c r="J117" s="369">
        <f>IFERROR(IF($E117="05",VLOOKUP($C117,세출예산서!$K$3:$X$307,14,FALSE),0),0)</f>
        <v>0</v>
      </c>
      <c r="K117" s="369" t="str">
        <f t="shared" si="29"/>
        <v/>
      </c>
      <c r="L117" s="370">
        <f>IFERROR(IF($AB$2="",0,ROUNDUP(VLOOKUP($B117,예산실적비교표!$AG$7:$AJ$200,3,FALSE)*$Y$7/($Y$8-(12-$Y$9)),-2)*$Y$8),0)</f>
        <v>0</v>
      </c>
      <c r="M117" s="597" t="str">
        <f>IF($AM$1=TRUE,IF(K117="","",IF(IF($AE$2="",IF(K117="","",SUBTOTAL(2,$K$3:K117)),IF(AND(G117&gt;=0,K117=""),"",IF(AND(G117&gt;0,OR(K117&gt;0,K117&lt;0)),SUBTOTAL(2,$K$3:K117),IF(AND(G117=0,OR(K117&gt;0,K117&lt;0)),SUBTOTAL(2,$K$3:K117)+200,""))))&gt;200,"",1)),IF(K117="","",IF(IF($AE$2="",IF(K117="","",SUBTOTAL(2,$K$3:K117)),IF(AND(G117&gt;=0,K117=""),"",IF(AND(G117&gt;0,OR(K117&gt;0,K117&lt;0)),SUBTOTAL(2,$K$3:K117),IF(AND(G117=0,OR(K117&gt;0,K117&lt;0)),SUBTOTAL(2,$K$3:K117)+200,""))))&gt;200,"",1)))</f>
        <v/>
      </c>
      <c r="N117" s="161" t="str">
        <f>IF($AM$1=TRUE,IF(K117="","",IF(IF($AE$2="",IF(K117="","",SUBTOTAL(2,$K$3:K117)),IF(AND(G117&gt;=0,K117=""),"",IF(AND(G117&gt;0,OR(K117&gt;0,K117&lt;0)),SUBTOTAL(2,$K$3:K117),IF(AND(G117=0,OR(K117&gt;0,K117&lt;0)),SUBTOTAL(2,$K$3:K117)+200,""))))&lt;=200,"",2)),IF(K117="","",IF(IF($AE$2="",IF(K117="","",SUBTOTAL(2,$K$3:K117)),IF(AND(G117&gt;=0,K117=""),"",IF(AND(G117&gt;0,OR(K117&gt;0,K117&lt;0)),SUBTOTAL(2,$K$3:K117),IF(AND(G117=0,OR(K117&gt;0,K117&lt;0)),SUBTOTAL(2,$K$3:K117)+200,""))))&lt;=200,"",2)))</f>
        <v/>
      </c>
      <c r="O117" s="482"/>
      <c r="P117" s="364">
        <f t="shared" si="28"/>
        <v>0</v>
      </c>
      <c r="Q117" s="487">
        <v>0</v>
      </c>
      <c r="R117" s="441" t="s">
        <v>54</v>
      </c>
      <c r="S117" s="442" t="s">
        <v>81</v>
      </c>
      <c r="T117" s="397">
        <f t="shared" si="23"/>
        <v>0</v>
      </c>
      <c r="U117" s="495">
        <f t="shared" si="27"/>
        <v>12</v>
      </c>
      <c r="V117" s="360" t="s">
        <v>126</v>
      </c>
      <c r="AP117" s="1035" t="str">
        <f>IF(예산실적비교표!AL117&lt;&gt;"",예산실적비교표!AL117,"")</f>
        <v/>
      </c>
      <c r="AQ117" s="1036" t="str">
        <f>IF(예산실적비교표!AM117&lt;&gt;"",예산실적비교표!AM117,"")</f>
        <v/>
      </c>
      <c r="AR117" s="1037">
        <f>IF(AND(예산실적비교표!AN117&lt;&gt;"",예산실적비교표!AN117&gt;1),예산실적비교표!AN117,0)</f>
        <v>0</v>
      </c>
      <c r="AS117" s="1038">
        <f>IF(예산실적비교표!AO117&lt;&gt;"",예산실적비교표!AO117,0)</f>
        <v>0</v>
      </c>
      <c r="AT117" s="971">
        <f t="shared" si="18"/>
        <v>0</v>
      </c>
      <c r="AU117" s="1039">
        <f>IF(예산실적비교표!AQ117&lt;&gt;"",예산실적비교표!AQ117,0)</f>
        <v>0</v>
      </c>
      <c r="AV117" s="973">
        <f t="shared" si="19"/>
        <v>0</v>
      </c>
      <c r="AW117" s="974">
        <f>IF(AR117="",0,ROUND((AT117*$AT$7)*데이터입력!$AF$14+(AT117*$AU$7)*데이터입력!$AF$14+(AT117*$AU$7*$AV$7)*데이터입력!$AF$14+(AT117*$AW$7)*데이터입력!$AF$14+(AT117*$AX$7)*데이터입력!$AF$14,-1))</f>
        <v>0</v>
      </c>
      <c r="AX117" s="975">
        <f t="shared" si="20"/>
        <v>0</v>
      </c>
      <c r="AY117" s="976">
        <f>IFERROR(IF($AE$2=TRUE,IF(AR117+AS117=0,0,AR117+AS117),ROUND(IF(데이터입력!$AF$14=100%,ROUND(AR117*$AR$1,-3),ROUND(AR117*$AR$1,-3)-ROUND(((AR117*$AR$1)*$AT$4)*(데이터입력!$AF$14-100%)+((AR117*$AR$1)*$AU$4)*(데이터입력!$AF$14-100%)+((AR117*$AR$1)*$AU$4*$AV$4)*(데이터입력!$AF$14-100%)+((AR117*$AR$1)*$AW$4)*(데이터입력!$AF$14-100%),-1)),0)),0)</f>
        <v>0</v>
      </c>
      <c r="AZ117" s="977">
        <f>IFERROR(IF(AR117+AS117=0,0,IF(데이터입력!$AF$12=100%,(AT117),(AT117)+ROUND(AT117*(데이터입력!$AF$12-100%),-1))),0)</f>
        <v>0</v>
      </c>
      <c r="BA117" s="1097" t="str">
        <f>IFERROR(IF(AZ117=0,"",IF(AND(예산실적비교표!AP117&gt;0,예산실적비교표!AW117=0),"",ROUND(AZ117/12,0))),"")</f>
        <v/>
      </c>
      <c r="BB117" s="1096" t="str">
        <f>IF(BA117="","",IF(데이터입력!$O$70="",ROUND(AZ117/12,0),ROUND(데이터입력!$O$70/데이터입력!$Y$8/$BC$63,0)))</f>
        <v/>
      </c>
    </row>
    <row r="118" spans="1:54">
      <c r="A118" s="903" t="str">
        <f>IF($AM$1=TRUE,IF(K118="","",SUBTOTAL(2,$K$3:K118)),IF(AND(M118="",N118=""),"",IF(N118="",COUNT($M$3:M118),COUNT($N$3:N118)+200)))</f>
        <v/>
      </c>
      <c r="B118" s="368" t="s">
        <v>47</v>
      </c>
      <c r="C118" s="368" t="s">
        <v>602</v>
      </c>
      <c r="D118" s="367">
        <v>501010502</v>
      </c>
      <c r="E118" s="367" t="s">
        <v>85</v>
      </c>
      <c r="F118" s="367" t="s">
        <v>82</v>
      </c>
      <c r="G118" s="369">
        <f>IFERROR(IF($E118="05",VLOOKUP($B118,예산실적비교표!$AG$7:$AJ$200,2,FALSE),0),0)</f>
        <v>0</v>
      </c>
      <c r="H118" s="369">
        <f>IFERROR(IF($E118="06",VLOOKUP($C118,세출예산서!$K$3:$X$307,12,FALSE),0),0)</f>
        <v>0</v>
      </c>
      <c r="I118" s="369">
        <f>IFERROR(IF($E118="07",VLOOKUP($C118,세출예산서!$K$3:$X$307,13,FALSE),0),0)</f>
        <v>0</v>
      </c>
      <c r="J118" s="369">
        <f>IFERROR(IF($E118="05",VLOOKUP($C118,세출예산서!$K$3:$X$307,14,FALSE),0),0)</f>
        <v>0</v>
      </c>
      <c r="K118" s="369" t="str">
        <f t="shared" si="29"/>
        <v/>
      </c>
      <c r="L118" s="370">
        <f>IFERROR(IF($AB$2="",0,ROUNDUP(VLOOKUP($B118,예산실적비교표!$AG$7:$AJ$200,3,FALSE)*$Y$7/($Y$8-(12-$Y$9)),-2)*$Y$8),0)</f>
        <v>0</v>
      </c>
      <c r="M118" s="597" t="str">
        <f>IF($AM$1=TRUE,IF(K118="","",IF(IF($AE$2="",IF(K118="","",SUBTOTAL(2,$K$3:K118)),IF(AND(G118&gt;=0,K118=""),"",IF(AND(G118&gt;0,OR(K118&gt;0,K118&lt;0)),SUBTOTAL(2,$K$3:K118),IF(AND(G118=0,OR(K118&gt;0,K118&lt;0)),SUBTOTAL(2,$K$3:K118)+200,""))))&gt;200,"",1)),IF(K118="","",IF(IF($AE$2="",IF(K118="","",SUBTOTAL(2,$K$3:K118)),IF(AND(G118&gt;=0,K118=""),"",IF(AND(G118&gt;0,OR(K118&gt;0,K118&lt;0)),SUBTOTAL(2,$K$3:K118),IF(AND(G118=0,OR(K118&gt;0,K118&lt;0)),SUBTOTAL(2,$K$3:K118)+200,""))))&gt;200,"",1)))</f>
        <v/>
      </c>
      <c r="N118" s="161" t="str">
        <f>IF($AM$1=TRUE,IF(K118="","",IF(IF($AE$2="",IF(K118="","",SUBTOTAL(2,$K$3:K118)),IF(AND(G118&gt;=0,K118=""),"",IF(AND(G118&gt;0,OR(K118&gt;0,K118&lt;0)),SUBTOTAL(2,$K$3:K118),IF(AND(G118=0,OR(K118&gt;0,K118&lt;0)),SUBTOTAL(2,$K$3:K118)+200,""))))&lt;=200,"",2)),IF(K118="","",IF(IF($AE$2="",IF(K118="","",SUBTOTAL(2,$K$3:K118)),IF(AND(G118&gt;=0,K118=""),"",IF(AND(G118&gt;0,OR(K118&gt;0,K118&lt;0)),SUBTOTAL(2,$K$3:K118),IF(AND(G118=0,OR(K118&gt;0,K118&lt;0)),SUBTOTAL(2,$K$3:K118)+200,""))))&lt;=200,"",2)))</f>
        <v/>
      </c>
      <c r="O118" s="482"/>
      <c r="P118" s="364">
        <f t="shared" si="28"/>
        <v>0</v>
      </c>
      <c r="Q118" s="487">
        <v>0</v>
      </c>
      <c r="R118" s="441" t="str">
        <f>$R$79</f>
        <v>공공요금 및 각종 세금공과금</v>
      </c>
      <c r="S118" s="442" t="s">
        <v>81</v>
      </c>
      <c r="T118" s="397">
        <f t="shared" si="23"/>
        <v>0</v>
      </c>
      <c r="U118" s="495">
        <f t="shared" si="27"/>
        <v>12</v>
      </c>
      <c r="V118" s="360" t="s">
        <v>126</v>
      </c>
      <c r="AP118" s="1035" t="str">
        <f>IF(예산실적비교표!AL118&lt;&gt;"",예산실적비교표!AL118,"")</f>
        <v/>
      </c>
      <c r="AQ118" s="1036" t="str">
        <f>IF(예산실적비교표!AM118&lt;&gt;"",예산실적비교표!AM118,"")</f>
        <v/>
      </c>
      <c r="AR118" s="1037">
        <f>IF(AND(예산실적비교표!AN118&lt;&gt;"",예산실적비교표!AN118&gt;1),예산실적비교표!AN118,0)</f>
        <v>0</v>
      </c>
      <c r="AS118" s="1038">
        <f>IF(예산실적비교표!AO118&lt;&gt;"",예산실적비교표!AO118,0)</f>
        <v>0</v>
      </c>
      <c r="AT118" s="971">
        <f t="shared" si="18"/>
        <v>0</v>
      </c>
      <c r="AU118" s="1039">
        <f>IF(예산실적비교표!AQ118&lt;&gt;"",예산실적비교표!AQ118,0)</f>
        <v>0</v>
      </c>
      <c r="AV118" s="973">
        <f t="shared" si="19"/>
        <v>0</v>
      </c>
      <c r="AW118" s="974">
        <f>IF(AR118="",0,ROUND((AT118*$AT$7)*데이터입력!$AF$14+(AT118*$AU$7)*데이터입력!$AF$14+(AT118*$AU$7*$AV$7)*데이터입력!$AF$14+(AT118*$AW$7)*데이터입력!$AF$14+(AT118*$AX$7)*데이터입력!$AF$14,-1))</f>
        <v>0</v>
      </c>
      <c r="AX118" s="975">
        <f t="shared" si="20"/>
        <v>0</v>
      </c>
      <c r="AY118" s="976">
        <f>IFERROR(IF($AE$2=TRUE,IF(AR118+AS118=0,0,AR118+AS118),ROUND(IF(데이터입력!$AF$14=100%,ROUND(AR118*$AR$1,-3),ROUND(AR118*$AR$1,-3)-ROUND(((AR118*$AR$1)*$AT$4)*(데이터입력!$AF$14-100%)+((AR118*$AR$1)*$AU$4)*(데이터입력!$AF$14-100%)+((AR118*$AR$1)*$AU$4*$AV$4)*(데이터입력!$AF$14-100%)+((AR118*$AR$1)*$AW$4)*(데이터입력!$AF$14-100%),-1)),0)),0)</f>
        <v>0</v>
      </c>
      <c r="AZ118" s="977">
        <f>IFERROR(IF(AR118+AS118=0,0,IF(데이터입력!$AF$12=100%,(AT118),(AT118)+ROUND(AT118*(데이터입력!$AF$12-100%),-1))),0)</f>
        <v>0</v>
      </c>
      <c r="BA118" s="1097" t="str">
        <f>IFERROR(IF(AZ118=0,"",IF(AND(예산실적비교표!AP118&gt;0,예산실적비교표!AW118=0),"",ROUND(AZ118/12,0))),"")</f>
        <v/>
      </c>
      <c r="BB118" s="1096" t="str">
        <f>IF(BA118="","",IF(데이터입력!$O$70="",ROUND(AZ118/12,0),ROUND(데이터입력!$O$70/데이터입력!$Y$8/$BC$63,0)))</f>
        <v/>
      </c>
    </row>
    <row r="119" spans="1:54">
      <c r="A119" s="903" t="str">
        <f>IF($AM$1=TRUE,IF(K119="","",SUBTOTAL(2,$K$3:K119)),IF(AND(M119="",N119=""),"",IF(N119="",COUNT($M$3:M119),COUNT($N$3:N119)+200)))</f>
        <v/>
      </c>
      <c r="B119" s="368" t="s">
        <v>48</v>
      </c>
      <c r="C119" s="368" t="s">
        <v>603</v>
      </c>
      <c r="D119" s="367">
        <v>501010601</v>
      </c>
      <c r="E119" s="367" t="s">
        <v>85</v>
      </c>
      <c r="F119" s="367" t="s">
        <v>82</v>
      </c>
      <c r="G119" s="369">
        <f>IFERROR(IF($E119="05",VLOOKUP($B119,예산실적비교표!$AG$7:$AJ$200,2,FALSE),0),0)</f>
        <v>0</v>
      </c>
      <c r="H119" s="369">
        <f>IFERROR(IF($E119="06",VLOOKUP($C119,세출예산서!$K$3:$X$307,12,FALSE),0),0)</f>
        <v>0</v>
      </c>
      <c r="I119" s="369">
        <f>IFERROR(IF($E119="07",VLOOKUP($C119,세출예산서!$K$3:$X$307,13,FALSE),0),0)</f>
        <v>0</v>
      </c>
      <c r="J119" s="369">
        <f>IFERROR(IF($E119="05",VLOOKUP($C119,세출예산서!$K$3:$X$307,14,FALSE),0),0)</f>
        <v>0</v>
      </c>
      <c r="K119" s="369" t="str">
        <f t="shared" si="29"/>
        <v/>
      </c>
      <c r="L119" s="370">
        <f>IFERROR(IF($AB$2="",0,ROUNDUP(VLOOKUP($B119,예산실적비교표!$AG$7:$AJ$200,3,FALSE)*$Y$7/($Y$8-(12-$Y$9)),-2)*$Y$8),0)</f>
        <v>0</v>
      </c>
      <c r="M119" s="597" t="str">
        <f>IF($AM$1=TRUE,IF(K119="","",IF(IF($AE$2="",IF(K119="","",SUBTOTAL(2,$K$3:K119)),IF(AND(G119&gt;=0,K119=""),"",IF(AND(G119&gt;0,OR(K119&gt;0,K119&lt;0)),SUBTOTAL(2,$K$3:K119),IF(AND(G119=0,OR(K119&gt;0,K119&lt;0)),SUBTOTAL(2,$K$3:K119)+200,""))))&gt;200,"",1)),IF(K119="","",IF(IF($AE$2="",IF(K119="","",SUBTOTAL(2,$K$3:K119)),IF(AND(G119&gt;=0,K119=""),"",IF(AND(G119&gt;0,OR(K119&gt;0,K119&lt;0)),SUBTOTAL(2,$K$3:K119),IF(AND(G119=0,OR(K119&gt;0,K119&lt;0)),SUBTOTAL(2,$K$3:K119)+200,""))))&gt;200,"",1)))</f>
        <v/>
      </c>
      <c r="N119" s="161" t="str">
        <f>IF($AM$1=TRUE,IF(K119="","",IF(IF($AE$2="",IF(K119="","",SUBTOTAL(2,$K$3:K119)),IF(AND(G119&gt;=0,K119=""),"",IF(AND(G119&gt;0,OR(K119&gt;0,K119&lt;0)),SUBTOTAL(2,$K$3:K119),IF(AND(G119=0,OR(K119&gt;0,K119&lt;0)),SUBTOTAL(2,$K$3:K119)+200,""))))&lt;=200,"",2)),IF(K119="","",IF(IF($AE$2="",IF(K119="","",SUBTOTAL(2,$K$3:K119)),IF(AND(G119&gt;=0,K119=""),"",IF(AND(G119&gt;0,OR(K119&gt;0,K119&lt;0)),SUBTOTAL(2,$K$3:K119),IF(AND(G119=0,OR(K119&gt;0,K119&lt;0)),SUBTOTAL(2,$K$3:K119)+200,""))))&lt;=200,"",2)))</f>
        <v/>
      </c>
      <c r="O119" s="482"/>
      <c r="P119" s="364">
        <f t="shared" si="28"/>
        <v>0</v>
      </c>
      <c r="Q119" s="487">
        <v>0</v>
      </c>
      <c r="R119" s="441" t="s">
        <v>55</v>
      </c>
      <c r="S119" s="442" t="s">
        <v>81</v>
      </c>
      <c r="T119" s="397">
        <f t="shared" si="23"/>
        <v>0</v>
      </c>
      <c r="U119" s="495">
        <f t="shared" si="27"/>
        <v>12</v>
      </c>
      <c r="V119" s="360" t="s">
        <v>126</v>
      </c>
      <c r="AP119" s="1035" t="str">
        <f>IF(예산실적비교표!AL119&lt;&gt;"",예산실적비교표!AL119,"")</f>
        <v/>
      </c>
      <c r="AQ119" s="1036" t="str">
        <f>IF(예산실적비교표!AM119&lt;&gt;"",예산실적비교표!AM119,"")</f>
        <v/>
      </c>
      <c r="AR119" s="1037">
        <f>IF(AND(예산실적비교표!AN119&lt;&gt;"",예산실적비교표!AN119&gt;1),예산실적비교표!AN119,0)</f>
        <v>0</v>
      </c>
      <c r="AS119" s="1038">
        <f>IF(예산실적비교표!AO119&lt;&gt;"",예산실적비교표!AO119,0)</f>
        <v>0</v>
      </c>
      <c r="AT119" s="971">
        <f t="shared" si="18"/>
        <v>0</v>
      </c>
      <c r="AU119" s="1039">
        <f>IF(예산실적비교표!AQ119&lt;&gt;"",예산실적비교표!AQ119,0)</f>
        <v>0</v>
      </c>
      <c r="AV119" s="973">
        <f t="shared" si="19"/>
        <v>0</v>
      </c>
      <c r="AW119" s="974">
        <f>IF(AR119="",0,ROUND((AT119*$AT$7)*데이터입력!$AF$14+(AT119*$AU$7)*데이터입력!$AF$14+(AT119*$AU$7*$AV$7)*데이터입력!$AF$14+(AT119*$AW$7)*데이터입력!$AF$14+(AT119*$AX$7)*데이터입력!$AF$14,-1))</f>
        <v>0</v>
      </c>
      <c r="AX119" s="975">
        <f t="shared" si="20"/>
        <v>0</v>
      </c>
      <c r="AY119" s="976">
        <f>IFERROR(IF($AE$2=TRUE,IF(AR119+AS119=0,0,AR119+AS119),ROUND(IF(데이터입력!$AF$14=100%,ROUND(AR119*$AR$1,-3),ROUND(AR119*$AR$1,-3)-ROUND(((AR119*$AR$1)*$AT$4)*(데이터입력!$AF$14-100%)+((AR119*$AR$1)*$AU$4)*(데이터입력!$AF$14-100%)+((AR119*$AR$1)*$AU$4*$AV$4)*(데이터입력!$AF$14-100%)+((AR119*$AR$1)*$AW$4)*(데이터입력!$AF$14-100%),-1)),0)),0)</f>
        <v>0</v>
      </c>
      <c r="AZ119" s="977">
        <f>IFERROR(IF(AR119+AS119=0,0,IF(데이터입력!$AF$12=100%,(AT119),(AT119)+ROUND(AT119*(데이터입력!$AF$12-100%),-1))),0)</f>
        <v>0</v>
      </c>
      <c r="BA119" s="1097" t="str">
        <f>IFERROR(IF(AZ119=0,"",IF(AND(예산실적비교표!AP119&gt;0,예산실적비교표!AW119=0),"",ROUND(AZ119/12,0))),"")</f>
        <v/>
      </c>
      <c r="BB119" s="1096" t="str">
        <f>IF(BA119="","",IF(데이터입력!$O$70="",ROUND(AZ119/12,0),ROUND(데이터입력!$O$70/데이터입력!$Y$8/$BC$63,0)))</f>
        <v/>
      </c>
    </row>
    <row r="120" spans="1:54">
      <c r="A120" s="903" t="str">
        <f>IF($AM$1=TRUE,IF(K120="","",SUBTOTAL(2,$K$3:K120)),IF(AND(M120="",N120=""),"",IF(N120="",COUNT($M$3:M120),COUNT($N$3:N120)+200)))</f>
        <v/>
      </c>
      <c r="B120" s="368" t="s">
        <v>49</v>
      </c>
      <c r="C120" s="368" t="s">
        <v>604</v>
      </c>
      <c r="D120" s="367">
        <v>501010602</v>
      </c>
      <c r="E120" s="367" t="s">
        <v>85</v>
      </c>
      <c r="F120" s="367" t="s">
        <v>82</v>
      </c>
      <c r="G120" s="369">
        <f>IFERROR(IF($E120="05",VLOOKUP($B120,예산실적비교표!$AG$7:$AJ$200,2,FALSE),0),0)</f>
        <v>0</v>
      </c>
      <c r="H120" s="369">
        <f>IFERROR(IF($E120="06",VLOOKUP($C120,세출예산서!$K$3:$X$307,12,FALSE),0),0)</f>
        <v>0</v>
      </c>
      <c r="I120" s="369">
        <f>IFERROR(IF($E120="07",VLOOKUP($C120,세출예산서!$K$3:$X$307,13,FALSE),0),0)</f>
        <v>0</v>
      </c>
      <c r="J120" s="369">
        <f>IFERROR(IF($E120="05",VLOOKUP($C120,세출예산서!$K$3:$X$307,14,FALSE),0),0)</f>
        <v>0</v>
      </c>
      <c r="K120" s="369" t="str">
        <f t="shared" si="29"/>
        <v/>
      </c>
      <c r="L120" s="370">
        <f>IFERROR(IF($AB$2="",0,ROUNDUP(VLOOKUP($B120,예산실적비교표!$AG$7:$AJ$200,3,FALSE)*$Y$7/($Y$8-(12-$Y$9)),-2)*$Y$8),0)</f>
        <v>0</v>
      </c>
      <c r="M120" s="597" t="str">
        <f>IF($AM$1=TRUE,IF(K120="","",IF(IF($AE$2="",IF(K120="","",SUBTOTAL(2,$K$3:K120)),IF(AND(G120&gt;=0,K120=""),"",IF(AND(G120&gt;0,OR(K120&gt;0,K120&lt;0)),SUBTOTAL(2,$K$3:K120),IF(AND(G120=0,OR(K120&gt;0,K120&lt;0)),SUBTOTAL(2,$K$3:K120)+200,""))))&gt;200,"",1)),IF(K120="","",IF(IF($AE$2="",IF(K120="","",SUBTOTAL(2,$K$3:K120)),IF(AND(G120&gt;=0,K120=""),"",IF(AND(G120&gt;0,OR(K120&gt;0,K120&lt;0)),SUBTOTAL(2,$K$3:K120),IF(AND(G120=0,OR(K120&gt;0,K120&lt;0)),SUBTOTAL(2,$K$3:K120)+200,""))))&gt;200,"",1)))</f>
        <v/>
      </c>
      <c r="N120" s="161" t="str">
        <f>IF($AM$1=TRUE,IF(K120="","",IF(IF($AE$2="",IF(K120="","",SUBTOTAL(2,$K$3:K120)),IF(AND(G120&gt;=0,K120=""),"",IF(AND(G120&gt;0,OR(K120&gt;0,K120&lt;0)),SUBTOTAL(2,$K$3:K120),IF(AND(G120=0,OR(K120&gt;0,K120&lt;0)),SUBTOTAL(2,$K$3:K120)+200,""))))&lt;=200,"",2)),IF(K120="","",IF(IF($AE$2="",IF(K120="","",SUBTOTAL(2,$K$3:K120)),IF(AND(G120&gt;=0,K120=""),"",IF(AND(G120&gt;0,OR(K120&gt;0,K120&lt;0)),SUBTOTAL(2,$K$3:K120),IF(AND(G120=0,OR(K120&gt;0,K120&lt;0)),SUBTOTAL(2,$K$3:K120)+200,""))))&lt;=200,"",2)))</f>
        <v/>
      </c>
      <c r="O120" s="482"/>
      <c r="P120" s="364">
        <f t="shared" si="28"/>
        <v>0</v>
      </c>
      <c r="Q120" s="487">
        <v>0</v>
      </c>
      <c r="R120" s="441" t="s">
        <v>56</v>
      </c>
      <c r="S120" s="442" t="s">
        <v>81</v>
      </c>
      <c r="T120" s="397">
        <f t="shared" si="23"/>
        <v>0</v>
      </c>
      <c r="U120" s="495">
        <f t="shared" si="27"/>
        <v>12</v>
      </c>
      <c r="V120" s="360" t="s">
        <v>126</v>
      </c>
      <c r="AP120" s="1035" t="str">
        <f>IF(예산실적비교표!AL120&lt;&gt;"",예산실적비교표!AL120,"")</f>
        <v/>
      </c>
      <c r="AQ120" s="1036" t="str">
        <f>IF(예산실적비교표!AM120&lt;&gt;"",예산실적비교표!AM120,"")</f>
        <v/>
      </c>
      <c r="AR120" s="1037">
        <f>IF(AND(예산실적비교표!AN120&lt;&gt;"",예산실적비교표!AN120&gt;1),예산실적비교표!AN120,0)</f>
        <v>0</v>
      </c>
      <c r="AS120" s="1038">
        <f>IF(예산실적비교표!AO120&lt;&gt;"",예산실적비교표!AO120,0)</f>
        <v>0</v>
      </c>
      <c r="AT120" s="971">
        <f t="shared" si="18"/>
        <v>0</v>
      </c>
      <c r="AU120" s="1039">
        <f>IF(예산실적비교표!AQ120&lt;&gt;"",예산실적비교표!AQ120,0)</f>
        <v>0</v>
      </c>
      <c r="AV120" s="973">
        <f t="shared" si="19"/>
        <v>0</v>
      </c>
      <c r="AW120" s="974">
        <f>IF(AR120="",0,ROUND((AT120*$AT$7)*데이터입력!$AF$14+(AT120*$AU$7)*데이터입력!$AF$14+(AT120*$AU$7*$AV$7)*데이터입력!$AF$14+(AT120*$AW$7)*데이터입력!$AF$14+(AT120*$AX$7)*데이터입력!$AF$14,-1))</f>
        <v>0</v>
      </c>
      <c r="AX120" s="975">
        <f t="shared" si="20"/>
        <v>0</v>
      </c>
      <c r="AY120" s="976">
        <f>IFERROR(IF($AE$2=TRUE,IF(AR120+AS120=0,0,AR120+AS120),ROUND(IF(데이터입력!$AF$14=100%,ROUND(AR120*$AR$1,-3),ROUND(AR120*$AR$1,-3)-ROUND(((AR120*$AR$1)*$AT$4)*(데이터입력!$AF$14-100%)+((AR120*$AR$1)*$AU$4)*(데이터입력!$AF$14-100%)+((AR120*$AR$1)*$AU$4*$AV$4)*(데이터입력!$AF$14-100%)+((AR120*$AR$1)*$AW$4)*(데이터입력!$AF$14-100%),-1)),0)),0)</f>
        <v>0</v>
      </c>
      <c r="AZ120" s="977">
        <f>IFERROR(IF(AR120+AS120=0,0,IF(데이터입력!$AF$12=100%,(AT120),(AT120)+ROUND(AT120*(데이터입력!$AF$12-100%),-1))),0)</f>
        <v>0</v>
      </c>
      <c r="BA120" s="1097" t="str">
        <f>IFERROR(IF(AZ120=0,"",IF(AND(예산실적비교표!AP120&gt;0,예산실적비교표!AW120=0),"",ROUND(AZ120/12,0))),"")</f>
        <v/>
      </c>
      <c r="BB120" s="1096" t="str">
        <f>IF(BA120="","",IF(데이터입력!$O$70="",ROUND(AZ120/12,0),ROUND(데이터입력!$O$70/데이터입력!$Y$8/$BC$63,0)))</f>
        <v/>
      </c>
    </row>
    <row r="121" spans="1:54">
      <c r="A121" s="903" t="str">
        <f>IF($AM$1=TRUE,IF(K121="","",SUBTOTAL(2,$K$3:K121)),IF(AND(M121="",N121=""),"",IF(N121="",COUNT($M$3:M121),COUNT($N$3:N121)+200)))</f>
        <v/>
      </c>
      <c r="B121" s="368" t="s">
        <v>50</v>
      </c>
      <c r="C121" s="368" t="s">
        <v>605</v>
      </c>
      <c r="D121" s="367">
        <v>501020101</v>
      </c>
      <c r="E121" s="367" t="s">
        <v>85</v>
      </c>
      <c r="F121" s="367" t="s">
        <v>82</v>
      </c>
      <c r="G121" s="369">
        <f>IFERROR(IF($E121="05",VLOOKUP($B121,예산실적비교표!$AG$7:$AJ$200,2,FALSE),0),0)</f>
        <v>0</v>
      </c>
      <c r="H121" s="369">
        <f>IFERROR(IF($E121="06",VLOOKUP($C121,세출예산서!$K$3:$X$307,12,FALSE),0),0)</f>
        <v>0</v>
      </c>
      <c r="I121" s="369">
        <f>IFERROR(IF($E121="07",VLOOKUP($C121,세출예산서!$K$3:$X$307,13,FALSE),0),0)</f>
        <v>0</v>
      </c>
      <c r="J121" s="369">
        <f>IFERROR(IF($E121="05",VLOOKUP($C121,세출예산서!$K$3:$X$307,14,FALSE),0),0)</f>
        <v>0</v>
      </c>
      <c r="K121" s="369" t="str">
        <f t="shared" si="29"/>
        <v/>
      </c>
      <c r="L121" s="370">
        <f>IFERROR(IF($AB$2="",0,ROUNDUP(VLOOKUP($B121,예산실적비교표!$AG$7:$AJ$200,3,FALSE)*$Y$7/($Y$8-(12-$Y$9)),-2)*$Y$8),0)</f>
        <v>0</v>
      </c>
      <c r="M121" s="597" t="str">
        <f>IF($AM$1=TRUE,IF(K121="","",IF(IF($AE$2="",IF(K121="","",SUBTOTAL(2,$K$3:K121)),IF(AND(G121&gt;=0,K121=""),"",IF(AND(G121&gt;0,OR(K121&gt;0,K121&lt;0)),SUBTOTAL(2,$K$3:K121),IF(AND(G121=0,OR(K121&gt;0,K121&lt;0)),SUBTOTAL(2,$K$3:K121)+200,""))))&gt;200,"",1)),IF(K121="","",IF(IF($AE$2="",IF(K121="","",SUBTOTAL(2,$K$3:K121)),IF(AND(G121&gt;=0,K121=""),"",IF(AND(G121&gt;0,OR(K121&gt;0,K121&lt;0)),SUBTOTAL(2,$K$3:K121),IF(AND(G121=0,OR(K121&gt;0,K121&lt;0)),SUBTOTAL(2,$K$3:K121)+200,""))))&gt;200,"",1)))</f>
        <v/>
      </c>
      <c r="N121" s="161" t="str">
        <f>IF($AM$1=TRUE,IF(K121="","",IF(IF($AE$2="",IF(K121="","",SUBTOTAL(2,$K$3:K121)),IF(AND(G121&gt;=0,K121=""),"",IF(AND(G121&gt;0,OR(K121&gt;0,K121&lt;0)),SUBTOTAL(2,$K$3:K121),IF(AND(G121=0,OR(K121&gt;0,K121&lt;0)),SUBTOTAL(2,$K$3:K121)+200,""))))&lt;=200,"",2)),IF(K121="","",IF(IF($AE$2="",IF(K121="","",SUBTOTAL(2,$K$3:K121)),IF(AND(G121&gt;=0,K121=""),"",IF(AND(G121&gt;0,OR(K121&gt;0,K121&lt;0)),SUBTOTAL(2,$K$3:K121),IF(AND(G121=0,OR(K121&gt;0,K121&lt;0)),SUBTOTAL(2,$K$3:K121)+200,""))))&lt;=200,"",2)))</f>
        <v/>
      </c>
      <c r="O121" s="482"/>
      <c r="P121" s="364">
        <f t="shared" si="28"/>
        <v>0</v>
      </c>
      <c r="Q121" s="487">
        <v>0</v>
      </c>
      <c r="R121" s="441" t="s">
        <v>57</v>
      </c>
      <c r="S121" s="442" t="s">
        <v>81</v>
      </c>
      <c r="T121" s="397">
        <f t="shared" si="23"/>
        <v>0</v>
      </c>
      <c r="U121" s="495">
        <f t="shared" si="27"/>
        <v>12</v>
      </c>
      <c r="V121" s="360" t="s">
        <v>126</v>
      </c>
      <c r="AP121" s="1035" t="str">
        <f>IF(예산실적비교표!AL121&lt;&gt;"",예산실적비교표!AL121,"")</f>
        <v/>
      </c>
      <c r="AQ121" s="1036" t="str">
        <f>IF(예산실적비교표!AM121&lt;&gt;"",예산실적비교표!AM121,"")</f>
        <v/>
      </c>
      <c r="AR121" s="1037">
        <f>IF(AND(예산실적비교표!AN121&lt;&gt;"",예산실적비교표!AN121&gt;1),예산실적비교표!AN121,0)</f>
        <v>0</v>
      </c>
      <c r="AS121" s="1038">
        <f>IF(예산실적비교표!AO121&lt;&gt;"",예산실적비교표!AO121,0)</f>
        <v>0</v>
      </c>
      <c r="AT121" s="971">
        <f t="shared" si="18"/>
        <v>0</v>
      </c>
      <c r="AU121" s="1039">
        <f>IF(예산실적비교표!AQ121&lt;&gt;"",예산실적비교표!AQ121,0)</f>
        <v>0</v>
      </c>
      <c r="AV121" s="973">
        <f t="shared" si="19"/>
        <v>0</v>
      </c>
      <c r="AW121" s="974">
        <f>IF(AR121="",0,ROUND((AT121*$AT$7)*데이터입력!$AF$14+(AT121*$AU$7)*데이터입력!$AF$14+(AT121*$AU$7*$AV$7)*데이터입력!$AF$14+(AT121*$AW$7)*데이터입력!$AF$14+(AT121*$AX$7)*데이터입력!$AF$14,-1))</f>
        <v>0</v>
      </c>
      <c r="AX121" s="975">
        <f t="shared" si="20"/>
        <v>0</v>
      </c>
      <c r="AY121" s="976">
        <f>IFERROR(IF($AE$2=TRUE,IF(AR121+AS121=0,0,AR121+AS121),ROUND(IF(데이터입력!$AF$14=100%,ROUND(AR121*$AR$1,-3),ROUND(AR121*$AR$1,-3)-ROUND(((AR121*$AR$1)*$AT$4)*(데이터입력!$AF$14-100%)+((AR121*$AR$1)*$AU$4)*(데이터입력!$AF$14-100%)+((AR121*$AR$1)*$AU$4*$AV$4)*(데이터입력!$AF$14-100%)+((AR121*$AR$1)*$AW$4)*(데이터입력!$AF$14-100%),-1)),0)),0)</f>
        <v>0</v>
      </c>
      <c r="AZ121" s="977">
        <f>IFERROR(IF(AR121+AS121=0,0,IF(데이터입력!$AF$12=100%,(AT121),(AT121)+ROUND(AT121*(데이터입력!$AF$12-100%),-1))),0)</f>
        <v>0</v>
      </c>
      <c r="BA121" s="1097" t="str">
        <f>IFERROR(IF(AZ121=0,"",IF(AND(예산실적비교표!AP121&gt;0,예산실적비교표!AW121=0),"",ROUND(AZ121/12,0))),"")</f>
        <v/>
      </c>
      <c r="BB121" s="1096" t="str">
        <f>IF(BA121="","",IF(데이터입력!$O$70="",ROUND(AZ121/12,0),ROUND(데이터입력!$O$70/데이터입력!$Y$8/$BC$63,0)))</f>
        <v/>
      </c>
    </row>
    <row r="122" spans="1:54">
      <c r="A122" s="903" t="str">
        <f>IF($AM$1=TRUE,IF(K122="","",SUBTOTAL(2,$K$3:K122)),IF(AND(M122="",N122=""),"",IF(N122="",COUNT($M$3:M122),COUNT($N$3:N122)+200)))</f>
        <v/>
      </c>
      <c r="B122" s="368" t="s">
        <v>52</v>
      </c>
      <c r="C122" s="368" t="s">
        <v>606</v>
      </c>
      <c r="D122" s="367">
        <v>501020301</v>
      </c>
      <c r="E122" s="367" t="s">
        <v>85</v>
      </c>
      <c r="F122" s="367" t="s">
        <v>82</v>
      </c>
      <c r="G122" s="369">
        <f>IFERROR(IF($E122="05",VLOOKUP($B122,예산실적비교표!$AG$7:$AJ$200,2,FALSE),0),0)</f>
        <v>0</v>
      </c>
      <c r="H122" s="369">
        <f>IFERROR(IF($E122="06",VLOOKUP($C122,세출예산서!$K$3:$X$307,12,FALSE),0),0)</f>
        <v>0</v>
      </c>
      <c r="I122" s="369">
        <f>IFERROR(IF($E122="07",VLOOKUP($C122,세출예산서!$K$3:$X$307,13,FALSE),0),0)</f>
        <v>0</v>
      </c>
      <c r="J122" s="369">
        <f>IFERROR(IF($E122="05",VLOOKUP($C122,세출예산서!$K$3:$X$307,14,FALSE),0),0)</f>
        <v>0</v>
      </c>
      <c r="K122" s="369" t="str">
        <f t="shared" si="29"/>
        <v/>
      </c>
      <c r="L122" s="370">
        <f>IFERROR(IF($AB$2="",0,ROUNDUP(VLOOKUP($B122,예산실적비교표!$AG$7:$AJ$200,3,FALSE)*$Y$7/($Y$8-(12-$Y$9)),-2)*$Y$8),0)</f>
        <v>0</v>
      </c>
      <c r="M122" s="597" t="str">
        <f>IF($AM$1=TRUE,IF(K122="","",IF(IF($AE$2="",IF(K122="","",SUBTOTAL(2,$K$3:K122)),IF(AND(G122&gt;=0,K122=""),"",IF(AND(G122&gt;0,OR(K122&gt;0,K122&lt;0)),SUBTOTAL(2,$K$3:K122),IF(AND(G122=0,OR(K122&gt;0,K122&lt;0)),SUBTOTAL(2,$K$3:K122)+200,""))))&gt;200,"",1)),IF(K122="","",IF(IF($AE$2="",IF(K122="","",SUBTOTAL(2,$K$3:K122)),IF(AND(G122&gt;=0,K122=""),"",IF(AND(G122&gt;0,OR(K122&gt;0,K122&lt;0)),SUBTOTAL(2,$K$3:K122),IF(AND(G122=0,OR(K122&gt;0,K122&lt;0)),SUBTOTAL(2,$K$3:K122)+200,""))))&gt;200,"",1)))</f>
        <v/>
      </c>
      <c r="N122" s="161" t="str">
        <f>IF($AM$1=TRUE,IF(K122="","",IF(IF($AE$2="",IF(K122="","",SUBTOTAL(2,$K$3:K122)),IF(AND(G122&gt;=0,K122=""),"",IF(AND(G122&gt;0,OR(K122&gt;0,K122&lt;0)),SUBTOTAL(2,$K$3:K122),IF(AND(G122=0,OR(K122&gt;0,K122&lt;0)),SUBTOTAL(2,$K$3:K122)+200,""))))&lt;=200,"",2)),IF(K122="","",IF(IF($AE$2="",IF(K122="","",SUBTOTAL(2,$K$3:K122)),IF(AND(G122&gt;=0,K122=""),"",IF(AND(G122&gt;0,OR(K122&gt;0,K122&lt;0)),SUBTOTAL(2,$K$3:K122),IF(AND(G122=0,OR(K122&gt;0,K122&lt;0)),SUBTOTAL(2,$K$3:K122)+200,""))))&lt;=200,"",2)))</f>
        <v/>
      </c>
      <c r="O122" s="482"/>
      <c r="P122" s="364">
        <f t="shared" si="28"/>
        <v>0</v>
      </c>
      <c r="Q122" s="487">
        <v>0</v>
      </c>
      <c r="R122" s="441" t="s">
        <v>58</v>
      </c>
      <c r="S122" s="442" t="s">
        <v>81</v>
      </c>
      <c r="T122" s="397">
        <f t="shared" si="23"/>
        <v>0</v>
      </c>
      <c r="U122" s="495">
        <f t="shared" si="27"/>
        <v>12</v>
      </c>
      <c r="V122" s="360" t="s">
        <v>126</v>
      </c>
      <c r="AP122" s="1035" t="str">
        <f>IF(예산실적비교표!AL122&lt;&gt;"",예산실적비교표!AL122,"")</f>
        <v/>
      </c>
      <c r="AQ122" s="1036" t="str">
        <f>IF(예산실적비교표!AM122&lt;&gt;"",예산실적비교표!AM122,"")</f>
        <v/>
      </c>
      <c r="AR122" s="1037">
        <f>IF(AND(예산실적비교표!AN122&lt;&gt;"",예산실적비교표!AN122&gt;1),예산실적비교표!AN122,0)</f>
        <v>0</v>
      </c>
      <c r="AS122" s="1038">
        <f>IF(예산실적비교표!AO122&lt;&gt;"",예산실적비교표!AO122,0)</f>
        <v>0</v>
      </c>
      <c r="AT122" s="971">
        <f t="shared" si="18"/>
        <v>0</v>
      </c>
      <c r="AU122" s="1039">
        <f>IF(예산실적비교표!AQ122&lt;&gt;"",예산실적비교표!AQ122,0)</f>
        <v>0</v>
      </c>
      <c r="AV122" s="973">
        <f t="shared" si="19"/>
        <v>0</v>
      </c>
      <c r="AW122" s="974">
        <f>IF(AR122="",0,ROUND((AT122*$AT$7)*데이터입력!$AF$14+(AT122*$AU$7)*데이터입력!$AF$14+(AT122*$AU$7*$AV$7)*데이터입력!$AF$14+(AT122*$AW$7)*데이터입력!$AF$14+(AT122*$AX$7)*데이터입력!$AF$14,-1))</f>
        <v>0</v>
      </c>
      <c r="AX122" s="975">
        <f t="shared" si="20"/>
        <v>0</v>
      </c>
      <c r="AY122" s="976">
        <f>IFERROR(IF($AE$2=TRUE,IF(AR122+AS122=0,0,AR122+AS122),ROUND(IF(데이터입력!$AF$14=100%,ROUND(AR122*$AR$1,-3),ROUND(AR122*$AR$1,-3)-ROUND(((AR122*$AR$1)*$AT$4)*(데이터입력!$AF$14-100%)+((AR122*$AR$1)*$AU$4)*(데이터입력!$AF$14-100%)+((AR122*$AR$1)*$AU$4*$AV$4)*(데이터입력!$AF$14-100%)+((AR122*$AR$1)*$AW$4)*(데이터입력!$AF$14-100%),-1)),0)),0)</f>
        <v>0</v>
      </c>
      <c r="AZ122" s="977">
        <f>IFERROR(IF(AR122+AS122=0,0,IF(데이터입력!$AF$12=100%,(AT122),(AT122)+ROUND(AT122*(데이터입력!$AF$12-100%),-1))),0)</f>
        <v>0</v>
      </c>
      <c r="BA122" s="1097" t="str">
        <f>IFERROR(IF(AZ122=0,"",IF(AND(예산실적비교표!AP122&gt;0,예산실적비교표!AW122=0),"",ROUND(AZ122/12,0))),"")</f>
        <v/>
      </c>
      <c r="BB122" s="1096" t="str">
        <f>IF(BA122="","",IF(데이터입력!$O$70="",ROUND(AZ122/12,0),ROUND(데이터입력!$O$70/데이터입력!$Y$8/$BC$63,0)))</f>
        <v/>
      </c>
    </row>
    <row r="123" spans="1:54">
      <c r="A123" s="903" t="str">
        <f>IF($AM$1=TRUE,IF(K123="","",SUBTOTAL(2,$K$3:K123)),IF(AND(M123="",N123=""),"",IF(N123="",COUNT($M$3:M123),COUNT($N$3:N123)+200)))</f>
        <v/>
      </c>
      <c r="B123" s="368" t="s">
        <v>53</v>
      </c>
      <c r="C123" s="368" t="s">
        <v>607</v>
      </c>
      <c r="D123" s="367">
        <v>501030101</v>
      </c>
      <c r="E123" s="367" t="s">
        <v>85</v>
      </c>
      <c r="F123" s="367" t="s">
        <v>82</v>
      </c>
      <c r="G123" s="369">
        <f>IFERROR(IF($E123="05",VLOOKUP($B123,예산실적비교표!$AG$7:$AJ$200,2,FALSE),0),0)</f>
        <v>0</v>
      </c>
      <c r="H123" s="369">
        <f>IFERROR(IF($E123="06",VLOOKUP($C123,세출예산서!$K$3:$X$307,12,FALSE),0),0)</f>
        <v>0</v>
      </c>
      <c r="I123" s="369">
        <f>IFERROR(IF($E123="07",VLOOKUP($C123,세출예산서!$K$3:$X$307,13,FALSE),0),0)</f>
        <v>0</v>
      </c>
      <c r="J123" s="369">
        <f>IFERROR(IF($E123="05",VLOOKUP($C123,세출예산서!$K$3:$X$307,14,FALSE),0),0)</f>
        <v>0</v>
      </c>
      <c r="K123" s="369" t="str">
        <f t="shared" si="29"/>
        <v/>
      </c>
      <c r="L123" s="370">
        <f>IFERROR(IF($AB$2="",0,ROUNDUP(VLOOKUP($B123,예산실적비교표!$AG$7:$AJ$200,3,FALSE)*$Y$7/($Y$8-(12-$Y$9)),-2)*$Y$8),0)</f>
        <v>0</v>
      </c>
      <c r="M123" s="597" t="str">
        <f>IF($AM$1=TRUE,IF(K123="","",IF(IF($AE$2="",IF(K123="","",SUBTOTAL(2,$K$3:K123)),IF(AND(G123&gt;=0,K123=""),"",IF(AND(G123&gt;0,OR(K123&gt;0,K123&lt;0)),SUBTOTAL(2,$K$3:K123),IF(AND(G123=0,OR(K123&gt;0,K123&lt;0)),SUBTOTAL(2,$K$3:K123)+200,""))))&gt;200,"",1)),IF(K123="","",IF(IF($AE$2="",IF(K123="","",SUBTOTAL(2,$K$3:K123)),IF(AND(G123&gt;=0,K123=""),"",IF(AND(G123&gt;0,OR(K123&gt;0,K123&lt;0)),SUBTOTAL(2,$K$3:K123),IF(AND(G123=0,OR(K123&gt;0,K123&lt;0)),SUBTOTAL(2,$K$3:K123)+200,""))))&gt;200,"",1)))</f>
        <v/>
      </c>
      <c r="N123" s="161" t="str">
        <f>IF($AM$1=TRUE,IF(K123="","",IF(IF($AE$2="",IF(K123="","",SUBTOTAL(2,$K$3:K123)),IF(AND(G123&gt;=0,K123=""),"",IF(AND(G123&gt;0,OR(K123&gt;0,K123&lt;0)),SUBTOTAL(2,$K$3:K123),IF(AND(G123=0,OR(K123&gt;0,K123&lt;0)),SUBTOTAL(2,$K$3:K123)+200,""))))&lt;=200,"",2)),IF(K123="","",IF(IF($AE$2="",IF(K123="","",SUBTOTAL(2,$K$3:K123)),IF(AND(G123&gt;=0,K123=""),"",IF(AND(G123&gt;0,OR(K123&gt;0,K123&lt;0)),SUBTOTAL(2,$K$3:K123),IF(AND(G123=0,OR(K123&gt;0,K123&lt;0)),SUBTOTAL(2,$K$3:K123)+200,""))))&lt;=200,"",2)))</f>
        <v/>
      </c>
      <c r="O123" s="483"/>
      <c r="P123" s="364">
        <f>AB20</f>
        <v>0</v>
      </c>
      <c r="Q123" s="486"/>
      <c r="R123" s="441" t="s">
        <v>59</v>
      </c>
      <c r="S123" s="442" t="s">
        <v>81</v>
      </c>
      <c r="T123" s="397">
        <f t="shared" si="23"/>
        <v>0</v>
      </c>
      <c r="U123" s="495">
        <v>1</v>
      </c>
      <c r="V123" s="444" t="s">
        <v>129</v>
      </c>
      <c r="AP123" s="1035" t="str">
        <f>IF(예산실적비교표!AL123&lt;&gt;"",예산실적비교표!AL123,"")</f>
        <v/>
      </c>
      <c r="AQ123" s="1036" t="str">
        <f>IF(예산실적비교표!AM123&lt;&gt;"",예산실적비교표!AM123,"")</f>
        <v/>
      </c>
      <c r="AR123" s="1037">
        <f>IF(AND(예산실적비교표!AN123&lt;&gt;"",예산실적비교표!AN123&gt;1),예산실적비교표!AN123,0)</f>
        <v>0</v>
      </c>
      <c r="AS123" s="1038">
        <f>IF(예산실적비교표!AO123&lt;&gt;"",예산실적비교표!AO123,0)</f>
        <v>0</v>
      </c>
      <c r="AT123" s="971">
        <f t="shared" si="18"/>
        <v>0</v>
      </c>
      <c r="AU123" s="1039">
        <f>IF(예산실적비교표!AQ123&lt;&gt;"",예산실적비교표!AQ123,0)</f>
        <v>0</v>
      </c>
      <c r="AV123" s="973">
        <f t="shared" si="19"/>
        <v>0</v>
      </c>
      <c r="AW123" s="974">
        <f>IF(AR123="",0,ROUND((AT123*$AT$7)*데이터입력!$AF$14+(AT123*$AU$7)*데이터입력!$AF$14+(AT123*$AU$7*$AV$7)*데이터입력!$AF$14+(AT123*$AW$7)*데이터입력!$AF$14+(AT123*$AX$7)*데이터입력!$AF$14,-1))</f>
        <v>0</v>
      </c>
      <c r="AX123" s="975">
        <f t="shared" si="20"/>
        <v>0</v>
      </c>
      <c r="AY123" s="976">
        <f>IFERROR(IF($AE$2=TRUE,IF(AR123+AS123=0,0,AR123+AS123),ROUND(IF(데이터입력!$AF$14=100%,ROUND(AR123*$AR$1,-3),ROUND(AR123*$AR$1,-3)-ROUND(((AR123*$AR$1)*$AT$4)*(데이터입력!$AF$14-100%)+((AR123*$AR$1)*$AU$4)*(데이터입력!$AF$14-100%)+((AR123*$AR$1)*$AU$4*$AV$4)*(데이터입력!$AF$14-100%)+((AR123*$AR$1)*$AW$4)*(데이터입력!$AF$14-100%),-1)),0)),0)</f>
        <v>0</v>
      </c>
      <c r="AZ123" s="977">
        <f>IFERROR(IF(AR123+AS123=0,0,IF(데이터입력!$AF$12=100%,(AT123),(AT123)+ROUND(AT123*(데이터입력!$AF$12-100%),-1))),0)</f>
        <v>0</v>
      </c>
      <c r="BA123" s="1097" t="str">
        <f>IFERROR(IF(AZ123=0,"",IF(AND(예산실적비교표!AP123&gt;0,예산실적비교표!AW123=0),"",ROUND(AZ123/12,0))),"")</f>
        <v/>
      </c>
      <c r="BB123" s="1096" t="str">
        <f>IF(BA123="","",IF(데이터입력!$O$70="",ROUND(AZ123/12,0),ROUND(데이터입력!$O$70/데이터입력!$Y$8/$BC$63,0)))</f>
        <v/>
      </c>
    </row>
    <row r="124" spans="1:54">
      <c r="A124" s="903" t="str">
        <f>IF($AM$1=TRUE,IF(K124="","",SUBTOTAL(2,$K$3:K124)),IF(AND(M124="",N124=""),"",IF(N124="",COUNT($M$3:M124),COUNT($N$3:N124)+200)))</f>
        <v/>
      </c>
      <c r="B124" s="368" t="s">
        <v>54</v>
      </c>
      <c r="C124" s="368" t="s">
        <v>608</v>
      </c>
      <c r="D124" s="367">
        <v>501030201</v>
      </c>
      <c r="E124" s="367" t="s">
        <v>85</v>
      </c>
      <c r="F124" s="367" t="s">
        <v>82</v>
      </c>
      <c r="G124" s="369">
        <f>IFERROR(IF($E124="05",VLOOKUP($B124,예산실적비교표!$AG$7:$AJ$200,2,FALSE),0),0)</f>
        <v>0</v>
      </c>
      <c r="H124" s="369">
        <f>IFERROR(IF($E124="06",VLOOKUP($C124,세출예산서!$K$3:$X$307,12,FALSE),0),0)</f>
        <v>0</v>
      </c>
      <c r="I124" s="369">
        <f>IFERROR(IF($E124="07",VLOOKUP($C124,세출예산서!$K$3:$X$307,13,FALSE),0),0)</f>
        <v>0</v>
      </c>
      <c r="J124" s="369">
        <f>IFERROR(IF($E124="05",VLOOKUP($C124,세출예산서!$K$3:$X$307,14,FALSE),0),0)</f>
        <v>0</v>
      </c>
      <c r="K124" s="369" t="str">
        <f t="shared" si="29"/>
        <v/>
      </c>
      <c r="L124" s="370">
        <f>IFERROR(IF($AB$2="",0,ROUNDUP(VLOOKUP($B124,예산실적비교표!$AG$7:$AJ$200,3,FALSE)*$Y$7/($Y$8-(12-$Y$9)),-2)*$Y$8),0)</f>
        <v>0</v>
      </c>
      <c r="M124" s="597" t="str">
        <f>IF($AM$1=TRUE,IF(K124="","",IF(IF($AE$2="",IF(K124="","",SUBTOTAL(2,$K$3:K124)),IF(AND(G124&gt;=0,K124=""),"",IF(AND(G124&gt;0,OR(K124&gt;0,K124&lt;0)),SUBTOTAL(2,$K$3:K124),IF(AND(G124=0,OR(K124&gt;0,K124&lt;0)),SUBTOTAL(2,$K$3:K124)+200,""))))&gt;200,"",1)),IF(K124="","",IF(IF($AE$2="",IF(K124="","",SUBTOTAL(2,$K$3:K124)),IF(AND(G124&gt;=0,K124=""),"",IF(AND(G124&gt;0,OR(K124&gt;0,K124&lt;0)),SUBTOTAL(2,$K$3:K124),IF(AND(G124=0,OR(K124&gt;0,K124&lt;0)),SUBTOTAL(2,$K$3:K124)+200,""))))&gt;200,"",1)))</f>
        <v/>
      </c>
      <c r="N124" s="161" t="str">
        <f>IF($AM$1=TRUE,IF(K124="","",IF(IF($AE$2="",IF(K124="","",SUBTOTAL(2,$K$3:K124)),IF(AND(G124&gt;=0,K124=""),"",IF(AND(G124&gt;0,OR(K124&gt;0,K124&lt;0)),SUBTOTAL(2,$K$3:K124),IF(AND(G124=0,OR(K124&gt;0,K124&lt;0)),SUBTOTAL(2,$K$3:K124)+200,""))))&lt;=200,"",2)),IF(K124="","",IF(IF($AE$2="",IF(K124="","",SUBTOTAL(2,$K$3:K124)),IF(AND(G124&gt;=0,K124=""),"",IF(AND(G124&gt;0,OR(K124&gt;0,K124&lt;0)),SUBTOTAL(2,$K$3:K124),IF(AND(G124=0,OR(K124&gt;0,K124&lt;0)),SUBTOTAL(2,$K$3:K124)+200,""))))&lt;=200,"",2)))</f>
        <v/>
      </c>
      <c r="O124" s="482"/>
      <c r="P124" s="364">
        <f t="shared" si="28"/>
        <v>0</v>
      </c>
      <c r="Q124" s="487">
        <v>0</v>
      </c>
      <c r="R124" s="441" t="s">
        <v>60</v>
      </c>
      <c r="S124" s="442" t="s">
        <v>81</v>
      </c>
      <c r="T124" s="397">
        <f t="shared" si="23"/>
        <v>0</v>
      </c>
      <c r="U124" s="495">
        <f t="shared" si="27"/>
        <v>12</v>
      </c>
      <c r="V124" s="360" t="s">
        <v>126</v>
      </c>
      <c r="AP124" s="1035" t="str">
        <f>IF(예산실적비교표!AL124&lt;&gt;"",예산실적비교표!AL124,"")</f>
        <v/>
      </c>
      <c r="AQ124" s="1036" t="str">
        <f>IF(예산실적비교표!AM124&lt;&gt;"",예산실적비교표!AM124,"")</f>
        <v/>
      </c>
      <c r="AR124" s="1037">
        <f>IF(AND(예산실적비교표!AN124&lt;&gt;"",예산실적비교표!AN124&gt;1),예산실적비교표!AN124,0)</f>
        <v>0</v>
      </c>
      <c r="AS124" s="1038">
        <f>IF(예산실적비교표!AO124&lt;&gt;"",예산실적비교표!AO124,0)</f>
        <v>0</v>
      </c>
      <c r="AT124" s="971">
        <f t="shared" si="18"/>
        <v>0</v>
      </c>
      <c r="AU124" s="1039">
        <f>IF(예산실적비교표!AQ124&lt;&gt;"",예산실적비교표!AQ124,0)</f>
        <v>0</v>
      </c>
      <c r="AV124" s="973">
        <f t="shared" si="19"/>
        <v>0</v>
      </c>
      <c r="AW124" s="974">
        <f>IF(AR124="",0,ROUND((AT124*$AT$7)*데이터입력!$AF$14+(AT124*$AU$7)*데이터입력!$AF$14+(AT124*$AU$7*$AV$7)*데이터입력!$AF$14+(AT124*$AW$7)*데이터입력!$AF$14+(AT124*$AX$7)*데이터입력!$AF$14,-1))</f>
        <v>0</v>
      </c>
      <c r="AX124" s="975">
        <f t="shared" si="20"/>
        <v>0</v>
      </c>
      <c r="AY124" s="976">
        <f>IFERROR(IF($AE$2=TRUE,IF(AR124+AS124=0,0,AR124+AS124),ROUND(IF(데이터입력!$AF$14=100%,ROUND(AR124*$AR$1,-3),ROUND(AR124*$AR$1,-3)-ROUND(((AR124*$AR$1)*$AT$4)*(데이터입력!$AF$14-100%)+((AR124*$AR$1)*$AU$4)*(데이터입력!$AF$14-100%)+((AR124*$AR$1)*$AU$4*$AV$4)*(데이터입력!$AF$14-100%)+((AR124*$AR$1)*$AW$4)*(데이터입력!$AF$14-100%),-1)),0)),0)</f>
        <v>0</v>
      </c>
      <c r="AZ124" s="977">
        <f>IFERROR(IF(AR124+AS124=0,0,IF(데이터입력!$AF$12=100%,(AT124),(AT124)+ROUND(AT124*(데이터입력!$AF$12-100%),-1))),0)</f>
        <v>0</v>
      </c>
      <c r="BA124" s="1097" t="str">
        <f>IFERROR(IF(AZ124=0,"",IF(AND(예산실적비교표!AP124&gt;0,예산실적비교표!AW124=0),"",ROUND(AZ124/12,0))),"")</f>
        <v/>
      </c>
      <c r="BB124" s="1096" t="str">
        <f>IF(BA124="","",IF(데이터입력!$O$70="",ROUND(AZ124/12,0),ROUND(데이터입력!$O$70/데이터입력!$Y$8/$BC$63,0)))</f>
        <v/>
      </c>
    </row>
    <row r="125" spans="1:54">
      <c r="A125" s="903" t="str">
        <f>IF($AM$1=TRUE,IF(K125="","",SUBTOTAL(2,$K$3:K125)),IF(AND(M125="",N125=""),"",IF(N125="",COUNT($M$3:M125),COUNT($N$3:N125)+200)))</f>
        <v/>
      </c>
      <c r="B125" s="368" t="str">
        <f>R147</f>
        <v>공공요금 및 각종 세금공과금</v>
      </c>
      <c r="C125" s="368" t="str">
        <f>B125&amp;"(후원금)"</f>
        <v>공공요금 및 각종 세금공과금(후원금)</v>
      </c>
      <c r="D125" s="367">
        <v>501030301</v>
      </c>
      <c r="E125" s="367" t="s">
        <v>85</v>
      </c>
      <c r="F125" s="367" t="s">
        <v>82</v>
      </c>
      <c r="G125" s="369">
        <f>IFERROR(IF($E125="05",VLOOKUP($B125,예산실적비교표!$AG$7:$AJ$200,2,FALSE),0),0)</f>
        <v>0</v>
      </c>
      <c r="H125" s="369">
        <f>IFERROR(IF($E125="06",VLOOKUP($C125,세출예산서!$K$3:$X$307,12,FALSE),0),0)</f>
        <v>0</v>
      </c>
      <c r="I125" s="369">
        <f>IFERROR(IF($E125="07",VLOOKUP($C125,세출예산서!$K$3:$X$307,13,FALSE),0),0)</f>
        <v>0</v>
      </c>
      <c r="J125" s="369">
        <f>IFERROR(IF($E125="05",VLOOKUP($C125,세출예산서!$K$3:$X$307,14,FALSE),0),0)</f>
        <v>0</v>
      </c>
      <c r="K125" s="369" t="str">
        <f t="shared" si="29"/>
        <v/>
      </c>
      <c r="L125" s="370">
        <f>IFERROR(IF($AB$2="",0,ROUNDUP(VLOOKUP($B125,예산실적비교표!$AG$7:$AJ$200,3,FALSE)*$Y$7/($Y$8-(12-$Y$9)),-2)*$Y$8),0)</f>
        <v>0</v>
      </c>
      <c r="M125" s="597" t="str">
        <f>IF($AM$1=TRUE,IF(K125="","",IF(IF($AE$2="",IF(K125="","",SUBTOTAL(2,$K$3:K125)),IF(AND(G125&gt;=0,K125=""),"",IF(AND(G125&gt;0,OR(K125&gt;0,K125&lt;0)),SUBTOTAL(2,$K$3:K125),IF(AND(G125=0,OR(K125&gt;0,K125&lt;0)),SUBTOTAL(2,$K$3:K125)+200,""))))&gt;200,"",1)),IF(K125="","",IF(IF($AE$2="",IF(K125="","",SUBTOTAL(2,$K$3:K125)),IF(AND(G125&gt;=0,K125=""),"",IF(AND(G125&gt;0,OR(K125&gt;0,K125&lt;0)),SUBTOTAL(2,$K$3:K125),IF(AND(G125=0,OR(K125&gt;0,K125&lt;0)),SUBTOTAL(2,$K$3:K125)+200,""))))&gt;200,"",1)))</f>
        <v/>
      </c>
      <c r="N125" s="161" t="str">
        <f>IF($AM$1=TRUE,IF(K125="","",IF(IF($AE$2="",IF(K125="","",SUBTOTAL(2,$K$3:K125)),IF(AND(G125&gt;=0,K125=""),"",IF(AND(G125&gt;0,OR(K125&gt;0,K125&lt;0)),SUBTOTAL(2,$K$3:K125),IF(AND(G125=0,OR(K125&gt;0,K125&lt;0)),SUBTOTAL(2,$K$3:K125)+200,""))))&lt;=200,"",2)),IF(K125="","",IF(IF($AE$2="",IF(K125="","",SUBTOTAL(2,$K$3:K125)),IF(AND(G125&gt;=0,K125=""),"",IF(AND(G125&gt;0,OR(K125&gt;0,K125&lt;0)),SUBTOTAL(2,$K$3:K125),IF(AND(G125=0,OR(K125&gt;0,K125&lt;0)),SUBTOTAL(2,$K$3:K125)+200,""))))&lt;=200,"",2)))</f>
        <v/>
      </c>
      <c r="O125" s="483"/>
      <c r="P125" s="364">
        <f>$I$31-SUM(AI81:AJ83)+AB21</f>
        <v>59280000</v>
      </c>
      <c r="Q125" s="486"/>
      <c r="R125" s="441" t="s">
        <v>61</v>
      </c>
      <c r="S125" s="442" t="s">
        <v>81</v>
      </c>
      <c r="T125" s="443">
        <f>P125</f>
        <v>59280000</v>
      </c>
      <c r="U125" s="496"/>
      <c r="V125" s="444" t="s">
        <v>632</v>
      </c>
      <c r="AP125" s="1035" t="str">
        <f>IF(예산실적비교표!AL125&lt;&gt;"",예산실적비교표!AL125,"")</f>
        <v/>
      </c>
      <c r="AQ125" s="1036" t="str">
        <f>IF(예산실적비교표!AM125&lt;&gt;"",예산실적비교표!AM125,"")</f>
        <v/>
      </c>
      <c r="AR125" s="1037">
        <f>IF(AND(예산실적비교표!AN125&lt;&gt;"",예산실적비교표!AN125&gt;1),예산실적비교표!AN125,0)</f>
        <v>0</v>
      </c>
      <c r="AS125" s="1038">
        <f>IF(예산실적비교표!AO125&lt;&gt;"",예산실적비교표!AO125,0)</f>
        <v>0</v>
      </c>
      <c r="AT125" s="971">
        <f t="shared" si="18"/>
        <v>0</v>
      </c>
      <c r="AU125" s="1039">
        <f>IF(예산실적비교표!AQ125&lt;&gt;"",예산실적비교표!AQ125,0)</f>
        <v>0</v>
      </c>
      <c r="AV125" s="973">
        <f t="shared" si="19"/>
        <v>0</v>
      </c>
      <c r="AW125" s="974">
        <f>IF(AR125="",0,ROUND((AT125*$AT$7)*데이터입력!$AF$14+(AT125*$AU$7)*데이터입력!$AF$14+(AT125*$AU$7*$AV$7)*데이터입력!$AF$14+(AT125*$AW$7)*데이터입력!$AF$14+(AT125*$AX$7)*데이터입력!$AF$14,-1))</f>
        <v>0</v>
      </c>
      <c r="AX125" s="975">
        <f t="shared" si="20"/>
        <v>0</v>
      </c>
      <c r="AY125" s="976">
        <f>IFERROR(IF($AE$2=TRUE,IF(AR125+AS125=0,0,AR125+AS125),ROUND(IF(데이터입력!$AF$14=100%,ROUND(AR125*$AR$1,-3),ROUND(AR125*$AR$1,-3)-ROUND(((AR125*$AR$1)*$AT$4)*(데이터입력!$AF$14-100%)+((AR125*$AR$1)*$AU$4)*(데이터입력!$AF$14-100%)+((AR125*$AR$1)*$AU$4*$AV$4)*(데이터입력!$AF$14-100%)+((AR125*$AR$1)*$AW$4)*(데이터입력!$AF$14-100%),-1)),0)),0)</f>
        <v>0</v>
      </c>
      <c r="AZ125" s="977">
        <f>IFERROR(IF(AR125+AS125=0,0,IF(데이터입력!$AF$12=100%,(AT125),(AT125)+ROUND(AT125*(데이터입력!$AF$12-100%),-1))),0)</f>
        <v>0</v>
      </c>
      <c r="BA125" s="1097" t="str">
        <f>IFERROR(IF(AZ125=0,"",IF(AND(예산실적비교표!AP125&gt;0,예산실적비교표!AW125=0),"",ROUND(AZ125/12,0))),"")</f>
        <v/>
      </c>
      <c r="BB125" s="1096" t="str">
        <f>IF(BA125="","",IF(데이터입력!$O$70="",ROUND(AZ125/12,0),ROUND(데이터입력!$O$70/데이터입력!$Y$8/$BC$63,0)))</f>
        <v/>
      </c>
    </row>
    <row r="126" spans="1:54">
      <c r="A126" s="903" t="str">
        <f>IF($AM$1=TRUE,IF(K126="","",SUBTOTAL(2,$K$3:K126)),IF(AND(M126="",N126=""),"",IF(N126="",COUNT($M$3:M126),COUNT($N$3:N126)+200)))</f>
        <v/>
      </c>
      <c r="B126" s="368" t="s">
        <v>55</v>
      </c>
      <c r="C126" s="368" t="s">
        <v>609</v>
      </c>
      <c r="D126" s="367">
        <v>501030501</v>
      </c>
      <c r="E126" s="367" t="s">
        <v>85</v>
      </c>
      <c r="F126" s="367" t="s">
        <v>82</v>
      </c>
      <c r="G126" s="369">
        <f>IFERROR(IF($E126="05",VLOOKUP($B126,예산실적비교표!$AG$7:$AJ$200,2,FALSE),0),0)</f>
        <v>0</v>
      </c>
      <c r="H126" s="369">
        <f>IFERROR(IF($E126="06",VLOOKUP($C126,세출예산서!$K$3:$X$307,12,FALSE),0),0)</f>
        <v>0</v>
      </c>
      <c r="I126" s="369">
        <f>IFERROR(IF($E126="07",VLOOKUP($C126,세출예산서!$K$3:$X$307,13,FALSE),0),0)</f>
        <v>0</v>
      </c>
      <c r="J126" s="369">
        <f>IFERROR(IF($E126="05",VLOOKUP($C126,세출예산서!$K$3:$X$307,14,FALSE),0),0)</f>
        <v>0</v>
      </c>
      <c r="K126" s="369" t="str">
        <f t="shared" si="29"/>
        <v/>
      </c>
      <c r="L126" s="370">
        <f>IFERROR(IF($AB$2="",0,ROUNDUP(VLOOKUP($B126,예산실적비교표!$AG$7:$AJ$200,3,FALSE)*$Y$7/($Y$8-(12-$Y$9)),-2)*$Y$8),0)</f>
        <v>0</v>
      </c>
      <c r="M126" s="597" t="str">
        <f>IF($AM$1=TRUE,IF(K126="","",IF(IF($AE$2="",IF(K126="","",SUBTOTAL(2,$K$3:K126)),IF(AND(G126&gt;=0,K126=""),"",IF(AND(G126&gt;0,OR(K126&gt;0,K126&lt;0)),SUBTOTAL(2,$K$3:K126),IF(AND(G126=0,OR(K126&gt;0,K126&lt;0)),SUBTOTAL(2,$K$3:K126)+200,""))))&gt;200,"",1)),IF(K126="","",IF(IF($AE$2="",IF(K126="","",SUBTOTAL(2,$K$3:K126)),IF(AND(G126&gt;=0,K126=""),"",IF(AND(G126&gt;0,OR(K126&gt;0,K126&lt;0)),SUBTOTAL(2,$K$3:K126),IF(AND(G126=0,OR(K126&gt;0,K126&lt;0)),SUBTOTAL(2,$K$3:K126)+200,""))))&gt;200,"",1)))</f>
        <v/>
      </c>
      <c r="N126" s="161" t="str">
        <f>IF($AM$1=TRUE,IF(K126="","",IF(IF($AE$2="",IF(K126="","",SUBTOTAL(2,$K$3:K126)),IF(AND(G126&gt;=0,K126=""),"",IF(AND(G126&gt;0,OR(K126&gt;0,K126&lt;0)),SUBTOTAL(2,$K$3:K126),IF(AND(G126=0,OR(K126&gt;0,K126&lt;0)),SUBTOTAL(2,$K$3:K126)+200,""))))&lt;=200,"",2)),IF(K126="","",IF(IF($AE$2="",IF(K126="","",SUBTOTAL(2,$K$3:K126)),IF(AND(G126&gt;=0,K126=""),"",IF(AND(G126&gt;0,OR(K126&gt;0,K126&lt;0)),SUBTOTAL(2,$K$3:K126),IF(AND(G126=0,OR(K126&gt;0,K126&lt;0)),SUBTOTAL(2,$K$3:K126)+200,""))))&lt;=200,"",2)))</f>
        <v/>
      </c>
      <c r="O126" s="482"/>
      <c r="P126" s="364">
        <f t="shared" ref="P126:P131" si="30">IFERROR(IF(VLOOKUP(R126,$B$81:$L$110,11,FALSE)&gt;0,VLOOKUP(R126,$B$81:$L$110,11,FALSE),0),0)</f>
        <v>0</v>
      </c>
      <c r="Q126" s="487">
        <v>0</v>
      </c>
      <c r="R126" s="441" t="s">
        <v>62</v>
      </c>
      <c r="S126" s="442" t="s">
        <v>81</v>
      </c>
      <c r="T126" s="397">
        <f t="shared" si="23"/>
        <v>0</v>
      </c>
      <c r="U126" s="495">
        <f t="shared" ref="U126:U131" si="31">IF(Q126=0,$Y$8,Q126)</f>
        <v>12</v>
      </c>
      <c r="V126" s="360" t="s">
        <v>126</v>
      </c>
      <c r="AP126" s="1035" t="str">
        <f>IF(예산실적비교표!AL126&lt;&gt;"",예산실적비교표!AL126,"")</f>
        <v/>
      </c>
      <c r="AQ126" s="1036" t="str">
        <f>IF(예산실적비교표!AM126&lt;&gt;"",예산실적비교표!AM126,"")</f>
        <v/>
      </c>
      <c r="AR126" s="1037">
        <f>IF(AND(예산실적비교표!AN126&lt;&gt;"",예산실적비교표!AN126&gt;1),예산실적비교표!AN126,0)</f>
        <v>0</v>
      </c>
      <c r="AS126" s="1038">
        <f>IF(예산실적비교표!AO126&lt;&gt;"",예산실적비교표!AO126,0)</f>
        <v>0</v>
      </c>
      <c r="AT126" s="971">
        <f t="shared" si="18"/>
        <v>0</v>
      </c>
      <c r="AU126" s="1039">
        <f>IF(예산실적비교표!AQ126&lt;&gt;"",예산실적비교표!AQ126,0)</f>
        <v>0</v>
      </c>
      <c r="AV126" s="973">
        <f t="shared" si="19"/>
        <v>0</v>
      </c>
      <c r="AW126" s="974">
        <f>IF(AR126="",0,ROUND((AT126*$AT$7)*데이터입력!$AF$14+(AT126*$AU$7)*데이터입력!$AF$14+(AT126*$AU$7*$AV$7)*데이터입력!$AF$14+(AT126*$AW$7)*데이터입력!$AF$14+(AT126*$AX$7)*데이터입력!$AF$14,-1))</f>
        <v>0</v>
      </c>
      <c r="AX126" s="975">
        <f t="shared" si="20"/>
        <v>0</v>
      </c>
      <c r="AY126" s="976">
        <f>IFERROR(IF($AE$2=TRUE,IF(AR126+AS126=0,0,AR126+AS126),ROUND(IF(데이터입력!$AF$14=100%,ROUND(AR126*$AR$1,-3),ROUND(AR126*$AR$1,-3)-ROUND(((AR126*$AR$1)*$AT$4)*(데이터입력!$AF$14-100%)+((AR126*$AR$1)*$AU$4)*(데이터입력!$AF$14-100%)+((AR126*$AR$1)*$AU$4*$AV$4)*(데이터입력!$AF$14-100%)+((AR126*$AR$1)*$AW$4)*(데이터입력!$AF$14-100%),-1)),0)),0)</f>
        <v>0</v>
      </c>
      <c r="AZ126" s="977">
        <f>IFERROR(IF(AR126+AS126=0,0,IF(데이터입력!$AF$12=100%,(AT126),(AT126)+ROUND(AT126*(데이터입력!$AF$12-100%),-1))),0)</f>
        <v>0</v>
      </c>
      <c r="BA126" s="1097" t="str">
        <f>IFERROR(IF(AZ126=0,"",IF(AND(예산실적비교표!AP126&gt;0,예산실적비교표!AW126=0),"",ROUND(AZ126/12,0))),"")</f>
        <v/>
      </c>
      <c r="BB126" s="1096" t="str">
        <f>IF(BA126="","",IF(데이터입력!$O$70="",ROUND(AZ126/12,0),ROUND(데이터입력!$O$70/데이터입력!$Y$8/$BC$63,0)))</f>
        <v/>
      </c>
    </row>
    <row r="127" spans="1:54">
      <c r="A127" s="903" t="str">
        <f>IF($AM$1=TRUE,IF(K127="","",SUBTOTAL(2,$K$3:K127)),IF(AND(M127="",N127=""),"",IF(N127="",COUNT($M$3:M127),COUNT($N$3:N127)+200)))</f>
        <v/>
      </c>
      <c r="B127" s="368" t="s">
        <v>56</v>
      </c>
      <c r="C127" s="368" t="s">
        <v>610</v>
      </c>
      <c r="D127" s="367">
        <v>501030601</v>
      </c>
      <c r="E127" s="367" t="s">
        <v>85</v>
      </c>
      <c r="F127" s="367" t="s">
        <v>82</v>
      </c>
      <c r="G127" s="369">
        <f>IFERROR(IF($E127="05",VLOOKUP($B127,예산실적비교표!$AG$7:$AJ$200,2,FALSE),0),0)</f>
        <v>0</v>
      </c>
      <c r="H127" s="369">
        <f>IFERROR(IF($E127="06",VLOOKUP($C127,세출예산서!$K$3:$X$307,12,FALSE),0),0)</f>
        <v>0</v>
      </c>
      <c r="I127" s="369">
        <f>IFERROR(IF($E127="07",VLOOKUP($C127,세출예산서!$K$3:$X$307,13,FALSE),0),0)</f>
        <v>0</v>
      </c>
      <c r="J127" s="369">
        <f>IFERROR(IF($E127="05",VLOOKUP($C127,세출예산서!$K$3:$X$307,14,FALSE),0),0)</f>
        <v>0</v>
      </c>
      <c r="K127" s="369" t="str">
        <f t="shared" si="29"/>
        <v/>
      </c>
      <c r="L127" s="370">
        <f>IFERROR(IF($AB$2="",0,ROUNDUP(VLOOKUP($B127,예산실적비교표!$AG$7:$AJ$200,3,FALSE)*$Y$7/($Y$8-(12-$Y$9)),-2)*$Y$8),0)</f>
        <v>0</v>
      </c>
      <c r="M127" s="597" t="str">
        <f>IF($AM$1=TRUE,IF(K127="","",IF(IF($AE$2="",IF(K127="","",SUBTOTAL(2,$K$3:K127)),IF(AND(G127&gt;=0,K127=""),"",IF(AND(G127&gt;0,OR(K127&gt;0,K127&lt;0)),SUBTOTAL(2,$K$3:K127),IF(AND(G127=0,OR(K127&gt;0,K127&lt;0)),SUBTOTAL(2,$K$3:K127)+200,""))))&gt;200,"",1)),IF(K127="","",IF(IF($AE$2="",IF(K127="","",SUBTOTAL(2,$K$3:K127)),IF(AND(G127&gt;=0,K127=""),"",IF(AND(G127&gt;0,OR(K127&gt;0,K127&lt;0)),SUBTOTAL(2,$K$3:K127),IF(AND(G127=0,OR(K127&gt;0,K127&lt;0)),SUBTOTAL(2,$K$3:K127)+200,""))))&gt;200,"",1)))</f>
        <v/>
      </c>
      <c r="N127" s="161" t="str">
        <f>IF($AM$1=TRUE,IF(K127="","",IF(IF($AE$2="",IF(K127="","",SUBTOTAL(2,$K$3:K127)),IF(AND(G127&gt;=0,K127=""),"",IF(AND(G127&gt;0,OR(K127&gt;0,K127&lt;0)),SUBTOTAL(2,$K$3:K127),IF(AND(G127=0,OR(K127&gt;0,K127&lt;0)),SUBTOTAL(2,$K$3:K127)+200,""))))&lt;=200,"",2)),IF(K127="","",IF(IF($AE$2="",IF(K127="","",SUBTOTAL(2,$K$3:K127)),IF(AND(G127&gt;=0,K127=""),"",IF(AND(G127&gt;0,OR(K127&gt;0,K127&lt;0)),SUBTOTAL(2,$K$3:K127),IF(AND(G127=0,OR(K127&gt;0,K127&lt;0)),SUBTOTAL(2,$K$3:K127)+200,""))))&lt;=200,"",2)))</f>
        <v/>
      </c>
      <c r="O127" s="482"/>
      <c r="P127" s="364">
        <f t="shared" si="30"/>
        <v>0</v>
      </c>
      <c r="Q127" s="487">
        <v>0</v>
      </c>
      <c r="R127" s="441" t="s">
        <v>63</v>
      </c>
      <c r="S127" s="442" t="s">
        <v>81</v>
      </c>
      <c r="T127" s="397">
        <f t="shared" si="23"/>
        <v>0</v>
      </c>
      <c r="U127" s="495">
        <f t="shared" si="31"/>
        <v>12</v>
      </c>
      <c r="V127" s="360" t="s">
        <v>126</v>
      </c>
      <c r="AP127" s="1035" t="str">
        <f>IF(예산실적비교표!AL127&lt;&gt;"",예산실적비교표!AL127,"")</f>
        <v/>
      </c>
      <c r="AQ127" s="1036" t="str">
        <f>IF(예산실적비교표!AM127&lt;&gt;"",예산실적비교표!AM127,"")</f>
        <v/>
      </c>
      <c r="AR127" s="1037">
        <f>IF(AND(예산실적비교표!AN127&lt;&gt;"",예산실적비교표!AN127&gt;1),예산실적비교표!AN127,0)</f>
        <v>0</v>
      </c>
      <c r="AS127" s="1038">
        <f>IF(예산실적비교표!AO127&lt;&gt;"",예산실적비교표!AO127,0)</f>
        <v>0</v>
      </c>
      <c r="AT127" s="971">
        <f t="shared" si="18"/>
        <v>0</v>
      </c>
      <c r="AU127" s="1039">
        <f>IF(예산실적비교표!AQ127&lt;&gt;"",예산실적비교표!AQ127,0)</f>
        <v>0</v>
      </c>
      <c r="AV127" s="973">
        <f t="shared" si="19"/>
        <v>0</v>
      </c>
      <c r="AW127" s="974">
        <f>IF(AR127="",0,ROUND((AT127*$AT$7)*데이터입력!$AF$14+(AT127*$AU$7)*데이터입력!$AF$14+(AT127*$AU$7*$AV$7)*데이터입력!$AF$14+(AT127*$AW$7)*데이터입력!$AF$14+(AT127*$AX$7)*데이터입력!$AF$14,-1))</f>
        <v>0</v>
      </c>
      <c r="AX127" s="975">
        <f t="shared" si="20"/>
        <v>0</v>
      </c>
      <c r="AY127" s="976">
        <f>IFERROR(IF($AE$2=TRUE,IF(AR127+AS127=0,0,AR127+AS127),ROUND(IF(데이터입력!$AF$14=100%,ROUND(AR127*$AR$1,-3),ROUND(AR127*$AR$1,-3)-ROUND(((AR127*$AR$1)*$AT$4)*(데이터입력!$AF$14-100%)+((AR127*$AR$1)*$AU$4)*(데이터입력!$AF$14-100%)+((AR127*$AR$1)*$AU$4*$AV$4)*(데이터입력!$AF$14-100%)+((AR127*$AR$1)*$AW$4)*(데이터입력!$AF$14-100%),-1)),0)),0)</f>
        <v>0</v>
      </c>
      <c r="AZ127" s="977">
        <f>IFERROR(IF(AR127+AS127=0,0,IF(데이터입력!$AF$12=100%,(AT127),(AT127)+ROUND(AT127*(데이터입력!$AF$12-100%),-1))),0)</f>
        <v>0</v>
      </c>
      <c r="BA127" s="1097" t="str">
        <f>IFERROR(IF(AZ127=0,"",IF(AND(예산실적비교표!AP127&gt;0,예산실적비교표!AW127=0),"",ROUND(AZ127/12,0))),"")</f>
        <v/>
      </c>
      <c r="BB127" s="1096" t="str">
        <f>IF(BA127="","",IF(데이터입력!$O$70="",ROUND(AZ127/12,0),ROUND(데이터입력!$O$70/데이터입력!$Y$8/$BC$63,0)))</f>
        <v/>
      </c>
    </row>
    <row r="128" spans="1:54">
      <c r="A128" s="903" t="str">
        <f>IF($AM$1=TRUE,IF(K128="","",SUBTOTAL(2,$K$3:K128)),IF(AND(M128="",N128=""),"",IF(N128="",COUNT($M$3:M128),COUNT($N$3:N128)+200)))</f>
        <v/>
      </c>
      <c r="B128" s="368" t="s">
        <v>57</v>
      </c>
      <c r="C128" s="368" t="s">
        <v>611</v>
      </c>
      <c r="D128" s="367">
        <v>501030701</v>
      </c>
      <c r="E128" s="367" t="s">
        <v>85</v>
      </c>
      <c r="F128" s="367" t="s">
        <v>82</v>
      </c>
      <c r="G128" s="369">
        <f>IFERROR(IF($E128="05",VLOOKUP($B128,예산실적비교표!$AG$7:$AJ$200,2,FALSE),0),0)</f>
        <v>0</v>
      </c>
      <c r="H128" s="369">
        <f>IFERROR(IF($E128="06",VLOOKUP($C128,세출예산서!$K$3:$X$307,12,FALSE),0),0)</f>
        <v>0</v>
      </c>
      <c r="I128" s="369">
        <f>IFERROR(IF($E128="07",VLOOKUP($C128,세출예산서!$K$3:$X$307,13,FALSE),0),0)</f>
        <v>0</v>
      </c>
      <c r="J128" s="369">
        <f>IFERROR(IF($E128="05",VLOOKUP($C128,세출예산서!$K$3:$X$307,14,FALSE),0),0)</f>
        <v>0</v>
      </c>
      <c r="K128" s="369" t="str">
        <f t="shared" si="29"/>
        <v/>
      </c>
      <c r="L128" s="370">
        <f>IFERROR(IF($AB$2="",0,ROUNDUP(VLOOKUP($B128,예산실적비교표!$AG$7:$AJ$200,3,FALSE)*$Y$7/($Y$8-(12-$Y$9)),-2)*$Y$8),0)</f>
        <v>0</v>
      </c>
      <c r="M128" s="597" t="str">
        <f>IF($AM$1=TRUE,IF(K128="","",IF(IF($AE$2="",IF(K128="","",SUBTOTAL(2,$K$3:K128)),IF(AND(G128&gt;=0,K128=""),"",IF(AND(G128&gt;0,OR(K128&gt;0,K128&lt;0)),SUBTOTAL(2,$K$3:K128),IF(AND(G128=0,OR(K128&gt;0,K128&lt;0)),SUBTOTAL(2,$K$3:K128)+200,""))))&gt;200,"",1)),IF(K128="","",IF(IF($AE$2="",IF(K128="","",SUBTOTAL(2,$K$3:K128)),IF(AND(G128&gt;=0,K128=""),"",IF(AND(G128&gt;0,OR(K128&gt;0,K128&lt;0)),SUBTOTAL(2,$K$3:K128),IF(AND(G128=0,OR(K128&gt;0,K128&lt;0)),SUBTOTAL(2,$K$3:K128)+200,""))))&gt;200,"",1)))</f>
        <v/>
      </c>
      <c r="N128" s="161" t="str">
        <f>IF($AM$1=TRUE,IF(K128="","",IF(IF($AE$2="",IF(K128="","",SUBTOTAL(2,$K$3:K128)),IF(AND(G128&gt;=0,K128=""),"",IF(AND(G128&gt;0,OR(K128&gt;0,K128&lt;0)),SUBTOTAL(2,$K$3:K128),IF(AND(G128=0,OR(K128&gt;0,K128&lt;0)),SUBTOTAL(2,$K$3:K128)+200,""))))&lt;=200,"",2)),IF(K128="","",IF(IF($AE$2="",IF(K128="","",SUBTOTAL(2,$K$3:K128)),IF(AND(G128&gt;=0,K128=""),"",IF(AND(G128&gt;0,OR(K128&gt;0,K128&lt;0)),SUBTOTAL(2,$K$3:K128),IF(AND(G128=0,OR(K128&gt;0,K128&lt;0)),SUBTOTAL(2,$K$3:K128)+200,""))))&lt;=200,"",2)))</f>
        <v/>
      </c>
      <c r="O128" s="482"/>
      <c r="P128" s="364">
        <f t="shared" si="30"/>
        <v>0</v>
      </c>
      <c r="Q128" s="487">
        <v>0</v>
      </c>
      <c r="R128" s="441" t="s">
        <v>64</v>
      </c>
      <c r="S128" s="442" t="s">
        <v>81</v>
      </c>
      <c r="T128" s="397">
        <f t="shared" si="23"/>
        <v>0</v>
      </c>
      <c r="U128" s="495">
        <f t="shared" si="31"/>
        <v>12</v>
      </c>
      <c r="V128" s="360" t="s">
        <v>126</v>
      </c>
      <c r="AP128" s="1035" t="str">
        <f>IF(예산실적비교표!AL128&lt;&gt;"",예산실적비교표!AL128,"")</f>
        <v/>
      </c>
      <c r="AQ128" s="1036" t="str">
        <f>IF(예산실적비교표!AM128&lt;&gt;"",예산실적비교표!AM128,"")</f>
        <v/>
      </c>
      <c r="AR128" s="1037">
        <f>IF(AND(예산실적비교표!AN128&lt;&gt;"",예산실적비교표!AN128&gt;1),예산실적비교표!AN128,0)</f>
        <v>0</v>
      </c>
      <c r="AS128" s="1038">
        <f>IF(예산실적비교표!AO128&lt;&gt;"",예산실적비교표!AO128,0)</f>
        <v>0</v>
      </c>
      <c r="AT128" s="971">
        <f t="shared" ref="AT128:AT191" si="32">IFERROR(IF(AND(AP128&lt;&gt;"",(AR128+AS128)=0),1,ROUND((AR128+AS128)*$AR$1,-3)),0)</f>
        <v>0</v>
      </c>
      <c r="AU128" s="1039">
        <f>IF(예산실적비교표!AQ128&lt;&gt;"",예산실적비교표!AQ128,0)</f>
        <v>0</v>
      </c>
      <c r="AV128" s="973">
        <f t="shared" ref="AV128:AV191" si="33">IF(BB128="",0,BB128)</f>
        <v>0</v>
      </c>
      <c r="AW128" s="974">
        <f>IF(AR128="",0,ROUND((AT128*$AT$7)*데이터입력!$AF$14+(AT128*$AU$7)*데이터입력!$AF$14+(AT128*$AU$7*$AV$7)*데이터입력!$AF$14+(AT128*$AW$7)*데이터입력!$AF$14+(AT128*$AX$7)*데이터입력!$AF$14,-1))</f>
        <v>0</v>
      </c>
      <c r="AX128" s="975">
        <f t="shared" ref="AX128:AX191" si="34">IF(SUM(AT128:AW128)=0,0,SUM(AT128:AW128))</f>
        <v>0</v>
      </c>
      <c r="AY128" s="976">
        <f>IFERROR(IF($AE$2=TRUE,IF(AR128+AS128=0,0,AR128+AS128),ROUND(IF(데이터입력!$AF$14=100%,ROUND(AR128*$AR$1,-3),ROUND(AR128*$AR$1,-3)-ROUND(((AR128*$AR$1)*$AT$4)*(데이터입력!$AF$14-100%)+((AR128*$AR$1)*$AU$4)*(데이터입력!$AF$14-100%)+((AR128*$AR$1)*$AU$4*$AV$4)*(데이터입력!$AF$14-100%)+((AR128*$AR$1)*$AW$4)*(데이터입력!$AF$14-100%),-1)),0)),0)</f>
        <v>0</v>
      </c>
      <c r="AZ128" s="977">
        <f>IFERROR(IF(AR128+AS128=0,0,IF(데이터입력!$AF$12=100%,(AT128),(AT128)+ROUND(AT128*(데이터입력!$AF$12-100%),-1))),0)</f>
        <v>0</v>
      </c>
      <c r="BA128" s="1097" t="str">
        <f>IFERROR(IF(AZ128=0,"",IF(AND(예산실적비교표!AP128&gt;0,예산실적비교표!AW128=0),"",ROUND(AZ128/12,0))),"")</f>
        <v/>
      </c>
      <c r="BB128" s="1096" t="str">
        <f>IF(BA128="","",IF(데이터입력!$O$70="",ROUND(AZ128/12,0),ROUND(데이터입력!$O$70/데이터입력!$Y$8/$BC$63,0)))</f>
        <v/>
      </c>
    </row>
    <row r="129" spans="1:54">
      <c r="A129" s="903" t="str">
        <f>IF($AM$1=TRUE,IF(K129="","",SUBTOTAL(2,$K$3:K129)),IF(AND(M129="",N129=""),"",IF(N129="",COUNT($M$3:M129),COUNT($N$3:N129)+200)))</f>
        <v/>
      </c>
      <c r="B129" s="368" t="s">
        <v>58</v>
      </c>
      <c r="C129" s="368" t="s">
        <v>612</v>
      </c>
      <c r="D129" s="367">
        <v>502010101</v>
      </c>
      <c r="E129" s="367" t="s">
        <v>85</v>
      </c>
      <c r="F129" s="367" t="s">
        <v>82</v>
      </c>
      <c r="G129" s="369">
        <f>IFERROR(IF($E129="05",VLOOKUP($B129,예산실적비교표!$AG$7:$AJ$200,2,FALSE),0),0)</f>
        <v>0</v>
      </c>
      <c r="H129" s="369">
        <f>IFERROR(IF($E129="06",VLOOKUP($C129,세출예산서!$K$3:$X$307,12,FALSE),0),0)</f>
        <v>0</v>
      </c>
      <c r="I129" s="369">
        <f>IFERROR(IF($E129="07",VLOOKUP($C129,세출예산서!$K$3:$X$307,13,FALSE),0),0)</f>
        <v>0</v>
      </c>
      <c r="J129" s="369">
        <f>IFERROR(IF($E129="05",VLOOKUP($C129,세출예산서!$K$3:$X$307,14,FALSE),0),0)</f>
        <v>0</v>
      </c>
      <c r="K129" s="369" t="str">
        <f t="shared" si="29"/>
        <v/>
      </c>
      <c r="L129" s="370">
        <f>IFERROR(IF($AB$2="",0,ROUNDUP(VLOOKUP($B129,예산실적비교표!$AG$7:$AJ$200,3,FALSE)*$Y$7/($Y$8-(12-$Y$9)),-2)*$Y$8),0)</f>
        <v>0</v>
      </c>
      <c r="M129" s="597" t="str">
        <f>IF($AM$1=TRUE,IF(K129="","",IF(IF($AE$2="",IF(K129="","",SUBTOTAL(2,$K$3:K129)),IF(AND(G129&gt;=0,K129=""),"",IF(AND(G129&gt;0,OR(K129&gt;0,K129&lt;0)),SUBTOTAL(2,$K$3:K129),IF(AND(G129=0,OR(K129&gt;0,K129&lt;0)),SUBTOTAL(2,$K$3:K129)+200,""))))&gt;200,"",1)),IF(K129="","",IF(IF($AE$2="",IF(K129="","",SUBTOTAL(2,$K$3:K129)),IF(AND(G129&gt;=0,K129=""),"",IF(AND(G129&gt;0,OR(K129&gt;0,K129&lt;0)),SUBTOTAL(2,$K$3:K129),IF(AND(G129=0,OR(K129&gt;0,K129&lt;0)),SUBTOTAL(2,$K$3:K129)+200,""))))&gt;200,"",1)))</f>
        <v/>
      </c>
      <c r="N129" s="161" t="str">
        <f>IF($AM$1=TRUE,IF(K129="","",IF(IF($AE$2="",IF(K129="","",SUBTOTAL(2,$K$3:K129)),IF(AND(G129&gt;=0,K129=""),"",IF(AND(G129&gt;0,OR(K129&gt;0,K129&lt;0)),SUBTOTAL(2,$K$3:K129),IF(AND(G129=0,OR(K129&gt;0,K129&lt;0)),SUBTOTAL(2,$K$3:K129)+200,""))))&lt;=200,"",2)),IF(K129="","",IF(IF($AE$2="",IF(K129="","",SUBTOTAL(2,$K$3:K129)),IF(AND(G129&gt;=0,K129=""),"",IF(AND(G129&gt;0,OR(K129&gt;0,K129&lt;0)),SUBTOTAL(2,$K$3:K129),IF(AND(G129=0,OR(K129&gt;0,K129&lt;0)),SUBTOTAL(2,$K$3:K129)+200,""))))&lt;=200,"",2)))</f>
        <v/>
      </c>
      <c r="O129" s="482"/>
      <c r="P129" s="364">
        <f t="shared" si="30"/>
        <v>0</v>
      </c>
      <c r="Q129" s="487">
        <v>0</v>
      </c>
      <c r="R129" s="441" t="s">
        <v>65</v>
      </c>
      <c r="S129" s="442" t="s">
        <v>81</v>
      </c>
      <c r="T129" s="397">
        <f t="shared" si="23"/>
        <v>0</v>
      </c>
      <c r="U129" s="495">
        <f t="shared" si="31"/>
        <v>12</v>
      </c>
      <c r="V129" s="360" t="s">
        <v>126</v>
      </c>
      <c r="AP129" s="1035" t="str">
        <f>IF(예산실적비교표!AL129&lt;&gt;"",예산실적비교표!AL129,"")</f>
        <v/>
      </c>
      <c r="AQ129" s="1036" t="str">
        <f>IF(예산실적비교표!AM129&lt;&gt;"",예산실적비교표!AM129,"")</f>
        <v/>
      </c>
      <c r="AR129" s="1037">
        <f>IF(AND(예산실적비교표!AN129&lt;&gt;"",예산실적비교표!AN129&gt;1),예산실적비교표!AN129,0)</f>
        <v>0</v>
      </c>
      <c r="AS129" s="1038">
        <f>IF(예산실적비교표!AO129&lt;&gt;"",예산실적비교표!AO129,0)</f>
        <v>0</v>
      </c>
      <c r="AT129" s="971">
        <f t="shared" si="32"/>
        <v>0</v>
      </c>
      <c r="AU129" s="1039">
        <f>IF(예산실적비교표!AQ129&lt;&gt;"",예산실적비교표!AQ129,0)</f>
        <v>0</v>
      </c>
      <c r="AV129" s="973">
        <f t="shared" si="33"/>
        <v>0</v>
      </c>
      <c r="AW129" s="974">
        <f>IF(AR129="",0,ROUND((AT129*$AT$7)*데이터입력!$AF$14+(AT129*$AU$7)*데이터입력!$AF$14+(AT129*$AU$7*$AV$7)*데이터입력!$AF$14+(AT129*$AW$7)*데이터입력!$AF$14+(AT129*$AX$7)*데이터입력!$AF$14,-1))</f>
        <v>0</v>
      </c>
      <c r="AX129" s="975">
        <f t="shared" si="34"/>
        <v>0</v>
      </c>
      <c r="AY129" s="976">
        <f>IFERROR(IF($AE$2=TRUE,IF(AR129+AS129=0,0,AR129+AS129),ROUND(IF(데이터입력!$AF$14=100%,ROUND(AR129*$AR$1,-3),ROUND(AR129*$AR$1,-3)-ROUND(((AR129*$AR$1)*$AT$4)*(데이터입력!$AF$14-100%)+((AR129*$AR$1)*$AU$4)*(데이터입력!$AF$14-100%)+((AR129*$AR$1)*$AU$4*$AV$4)*(데이터입력!$AF$14-100%)+((AR129*$AR$1)*$AW$4)*(데이터입력!$AF$14-100%),-1)),0)),0)</f>
        <v>0</v>
      </c>
      <c r="AZ129" s="977">
        <f>IFERROR(IF(AR129+AS129=0,0,IF(데이터입력!$AF$12=100%,(AT129),(AT129)+ROUND(AT129*(데이터입력!$AF$12-100%),-1))),0)</f>
        <v>0</v>
      </c>
      <c r="BA129" s="1097" t="str">
        <f>IFERROR(IF(AZ129=0,"",IF(AND(예산실적비교표!AP129&gt;0,예산실적비교표!AW129=0),"",ROUND(AZ129/12,0))),"")</f>
        <v/>
      </c>
      <c r="BB129" s="1096" t="str">
        <f>IF(BA129="","",IF(데이터입력!$O$70="",ROUND(AZ129/12,0),ROUND(데이터입력!$O$70/데이터입력!$Y$8/$BC$63,0)))</f>
        <v/>
      </c>
    </row>
    <row r="130" spans="1:54">
      <c r="A130" s="903" t="str">
        <f>IF($AM$1=TRUE,IF(K130="","",SUBTOTAL(2,$K$3:K130)),IF(AND(M130="",N130=""),"",IF(N130="",COUNT($M$3:M130),COUNT($N$3:N130)+200)))</f>
        <v/>
      </c>
      <c r="B130" s="368" t="s">
        <v>59</v>
      </c>
      <c r="C130" s="368" t="s">
        <v>613</v>
      </c>
      <c r="D130" s="367">
        <v>502010201</v>
      </c>
      <c r="E130" s="367" t="s">
        <v>85</v>
      </c>
      <c r="F130" s="367" t="s">
        <v>82</v>
      </c>
      <c r="G130" s="369">
        <f>IFERROR(IF($E130="05",VLOOKUP($B130,예산실적비교표!$AG$7:$AJ$200,2,FALSE),0),0)</f>
        <v>0</v>
      </c>
      <c r="H130" s="369">
        <f>IFERROR(IF($E130="06",VLOOKUP($C130,세출예산서!$K$3:$X$307,12,FALSE),0),0)</f>
        <v>0</v>
      </c>
      <c r="I130" s="369">
        <f>IFERROR(IF($E130="07",VLOOKUP($C130,세출예산서!$K$3:$X$307,13,FALSE),0),0)</f>
        <v>0</v>
      </c>
      <c r="J130" s="369">
        <f>IFERROR(IF($E130="05",VLOOKUP($C130,세출예산서!$K$3:$X$307,14,FALSE),0),0)</f>
        <v>0</v>
      </c>
      <c r="K130" s="369" t="str">
        <f t="shared" si="29"/>
        <v/>
      </c>
      <c r="L130" s="370">
        <f>IFERROR(IF($AB$2="",0,ROUNDUP(VLOOKUP($B130,예산실적비교표!$AG$7:$AJ$200,3,FALSE)*$Y$7/($Y$8-(12-$Y$9)),-2)*$Y$8),0)</f>
        <v>0</v>
      </c>
      <c r="M130" s="597" t="str">
        <f>IF($AM$1=TRUE,IF(K130="","",IF(IF($AE$2="",IF(K130="","",SUBTOTAL(2,$K$3:K130)),IF(AND(G130&gt;=0,K130=""),"",IF(AND(G130&gt;0,OR(K130&gt;0,K130&lt;0)),SUBTOTAL(2,$K$3:K130),IF(AND(G130=0,OR(K130&gt;0,K130&lt;0)),SUBTOTAL(2,$K$3:K130)+200,""))))&gt;200,"",1)),IF(K130="","",IF(IF($AE$2="",IF(K130="","",SUBTOTAL(2,$K$3:K130)),IF(AND(G130&gt;=0,K130=""),"",IF(AND(G130&gt;0,OR(K130&gt;0,K130&lt;0)),SUBTOTAL(2,$K$3:K130),IF(AND(G130=0,OR(K130&gt;0,K130&lt;0)),SUBTOTAL(2,$K$3:K130)+200,""))))&gt;200,"",1)))</f>
        <v/>
      </c>
      <c r="N130" s="161" t="str">
        <f>IF($AM$1=TRUE,IF(K130="","",IF(IF($AE$2="",IF(K130="","",SUBTOTAL(2,$K$3:K130)),IF(AND(G130&gt;=0,K130=""),"",IF(AND(G130&gt;0,OR(K130&gt;0,K130&lt;0)),SUBTOTAL(2,$K$3:K130),IF(AND(G130=0,OR(K130&gt;0,K130&lt;0)),SUBTOTAL(2,$K$3:K130)+200,""))))&lt;=200,"",2)),IF(K130="","",IF(IF($AE$2="",IF(K130="","",SUBTOTAL(2,$K$3:K130)),IF(AND(G130&gt;=0,K130=""),"",IF(AND(G130&gt;0,OR(K130&gt;0,K130&lt;0)),SUBTOTAL(2,$K$3:K130),IF(AND(G130=0,OR(K130&gt;0,K130&lt;0)),SUBTOTAL(2,$K$3:K130)+200,""))))&lt;=200,"",2)))</f>
        <v/>
      </c>
      <c r="O130" s="482"/>
      <c r="P130" s="364">
        <f t="shared" si="30"/>
        <v>0</v>
      </c>
      <c r="Q130" s="487">
        <v>0</v>
      </c>
      <c r="R130" s="441" t="s">
        <v>68</v>
      </c>
      <c r="S130" s="442" t="s">
        <v>81</v>
      </c>
      <c r="T130" s="397">
        <f t="shared" si="23"/>
        <v>0</v>
      </c>
      <c r="U130" s="495">
        <f t="shared" si="31"/>
        <v>12</v>
      </c>
      <c r="V130" s="360" t="s">
        <v>126</v>
      </c>
      <c r="AP130" s="1035" t="str">
        <f>IF(예산실적비교표!AL130&lt;&gt;"",예산실적비교표!AL130,"")</f>
        <v/>
      </c>
      <c r="AQ130" s="1036" t="str">
        <f>IF(예산실적비교표!AM130&lt;&gt;"",예산실적비교표!AM130,"")</f>
        <v/>
      </c>
      <c r="AR130" s="1037">
        <f>IF(AND(예산실적비교표!AN130&lt;&gt;"",예산실적비교표!AN130&gt;1),예산실적비교표!AN130,0)</f>
        <v>0</v>
      </c>
      <c r="AS130" s="1038">
        <f>IF(예산실적비교표!AO130&lt;&gt;"",예산실적비교표!AO130,0)</f>
        <v>0</v>
      </c>
      <c r="AT130" s="971">
        <f t="shared" si="32"/>
        <v>0</v>
      </c>
      <c r="AU130" s="1039">
        <f>IF(예산실적비교표!AQ130&lt;&gt;"",예산실적비교표!AQ130,0)</f>
        <v>0</v>
      </c>
      <c r="AV130" s="973">
        <f t="shared" si="33"/>
        <v>0</v>
      </c>
      <c r="AW130" s="974">
        <f>IF(AR130="",0,ROUND((AT130*$AT$7)*데이터입력!$AF$14+(AT130*$AU$7)*데이터입력!$AF$14+(AT130*$AU$7*$AV$7)*데이터입력!$AF$14+(AT130*$AW$7)*데이터입력!$AF$14+(AT130*$AX$7)*데이터입력!$AF$14,-1))</f>
        <v>0</v>
      </c>
      <c r="AX130" s="975">
        <f t="shared" si="34"/>
        <v>0</v>
      </c>
      <c r="AY130" s="976">
        <f>IFERROR(IF($AE$2=TRUE,IF(AR130+AS130=0,0,AR130+AS130),ROUND(IF(데이터입력!$AF$14=100%,ROUND(AR130*$AR$1,-3),ROUND(AR130*$AR$1,-3)-ROUND(((AR130*$AR$1)*$AT$4)*(데이터입력!$AF$14-100%)+((AR130*$AR$1)*$AU$4)*(데이터입력!$AF$14-100%)+((AR130*$AR$1)*$AU$4*$AV$4)*(데이터입력!$AF$14-100%)+((AR130*$AR$1)*$AW$4)*(데이터입력!$AF$14-100%),-1)),0)),0)</f>
        <v>0</v>
      </c>
      <c r="AZ130" s="977">
        <f>IFERROR(IF(AR130+AS130=0,0,IF(데이터입력!$AF$12=100%,(AT130),(AT130)+ROUND(AT130*(데이터입력!$AF$12-100%),-1))),0)</f>
        <v>0</v>
      </c>
      <c r="BA130" s="1097" t="str">
        <f>IFERROR(IF(AZ130=0,"",IF(AND(예산실적비교표!AP130&gt;0,예산실적비교표!AW130=0),"",ROUND(AZ130/12,0))),"")</f>
        <v/>
      </c>
      <c r="BB130" s="1096" t="str">
        <f>IF(BA130="","",IF(데이터입력!$O$70="",ROUND(AZ130/12,0),ROUND(데이터입력!$O$70/데이터입력!$Y$8/$BC$63,0)))</f>
        <v/>
      </c>
    </row>
    <row r="131" spans="1:54">
      <c r="A131" s="903" t="str">
        <f>IF($AM$1=TRUE,IF(K131="","",SUBTOTAL(2,$K$3:K131)),IF(AND(M131="",N131=""),"",IF(N131="",COUNT($M$3:M131),COUNT($N$3:N131)+200)))</f>
        <v/>
      </c>
      <c r="B131" s="368" t="s">
        <v>60</v>
      </c>
      <c r="C131" s="368" t="s">
        <v>614</v>
      </c>
      <c r="D131" s="367">
        <v>502010301</v>
      </c>
      <c r="E131" s="367" t="s">
        <v>85</v>
      </c>
      <c r="F131" s="367" t="s">
        <v>82</v>
      </c>
      <c r="G131" s="369">
        <f>IFERROR(IF($E131="05",VLOOKUP($B131,예산실적비교표!$AG$7:$AJ$200,2,FALSE),0),0)</f>
        <v>0</v>
      </c>
      <c r="H131" s="369">
        <f>IFERROR(IF($E131="06",VLOOKUP($C131,세출예산서!$K$3:$X$307,12,FALSE),0),0)</f>
        <v>0</v>
      </c>
      <c r="I131" s="369">
        <f>IFERROR(IF($E131="07",VLOOKUP($C131,세출예산서!$K$3:$X$307,13,FALSE),0),0)</f>
        <v>0</v>
      </c>
      <c r="J131" s="369">
        <f>IFERROR(IF($E131="05",VLOOKUP($C131,세출예산서!$K$3:$X$307,14,FALSE),0),0)</f>
        <v>0</v>
      </c>
      <c r="K131" s="369" t="str">
        <f t="shared" si="29"/>
        <v/>
      </c>
      <c r="L131" s="370">
        <f>IFERROR(IF($AB$2="",0,ROUNDUP(VLOOKUP($B131,예산실적비교표!$AG$7:$AJ$200,3,FALSE)*$Y$7/($Y$8-(12-$Y$9)),-2)*$Y$8),0)</f>
        <v>0</v>
      </c>
      <c r="M131" s="597" t="str">
        <f>IF($AM$1=TRUE,IF(K131="","",IF(IF($AE$2="",IF(K131="","",SUBTOTAL(2,$K$3:K131)),IF(AND(G131&gt;=0,K131=""),"",IF(AND(G131&gt;0,OR(K131&gt;0,K131&lt;0)),SUBTOTAL(2,$K$3:K131),IF(AND(G131=0,OR(K131&gt;0,K131&lt;0)),SUBTOTAL(2,$K$3:K131)+200,""))))&gt;200,"",1)),IF(K131="","",IF(IF($AE$2="",IF(K131="","",SUBTOTAL(2,$K$3:K131)),IF(AND(G131&gt;=0,K131=""),"",IF(AND(G131&gt;0,OR(K131&gt;0,K131&lt;0)),SUBTOTAL(2,$K$3:K131),IF(AND(G131=0,OR(K131&gt;0,K131&lt;0)),SUBTOTAL(2,$K$3:K131)+200,""))))&gt;200,"",1)))</f>
        <v/>
      </c>
      <c r="N131" s="161" t="str">
        <f>IF($AM$1=TRUE,IF(K131="","",IF(IF($AE$2="",IF(K131="","",SUBTOTAL(2,$K$3:K131)),IF(AND(G131&gt;=0,K131=""),"",IF(AND(G131&gt;0,OR(K131&gt;0,K131&lt;0)),SUBTOTAL(2,$K$3:K131),IF(AND(G131=0,OR(K131&gt;0,K131&lt;0)),SUBTOTAL(2,$K$3:K131)+200,""))))&lt;=200,"",2)),IF(K131="","",IF(IF($AE$2="",IF(K131="","",SUBTOTAL(2,$K$3:K131)),IF(AND(G131&gt;=0,K131=""),"",IF(AND(G131&gt;0,OR(K131&gt;0,K131&lt;0)),SUBTOTAL(2,$K$3:K131),IF(AND(G131=0,OR(K131&gt;0,K131&lt;0)),SUBTOTAL(2,$K$3:K131)+200,""))))&lt;=200,"",2)))</f>
        <v/>
      </c>
      <c r="O131" s="482"/>
      <c r="P131" s="364">
        <f t="shared" si="30"/>
        <v>0</v>
      </c>
      <c r="Q131" s="487">
        <v>0</v>
      </c>
      <c r="R131" s="441" t="s">
        <v>71</v>
      </c>
      <c r="S131" s="442" t="s">
        <v>81</v>
      </c>
      <c r="T131" s="397">
        <f t="shared" si="23"/>
        <v>0</v>
      </c>
      <c r="U131" s="495">
        <f t="shared" si="31"/>
        <v>12</v>
      </c>
      <c r="V131" s="360" t="s">
        <v>126</v>
      </c>
      <c r="AP131" s="1035" t="str">
        <f>IF(예산실적비교표!AL131&lt;&gt;"",예산실적비교표!AL131,"")</f>
        <v/>
      </c>
      <c r="AQ131" s="1036" t="str">
        <f>IF(예산실적비교표!AM131&lt;&gt;"",예산실적비교표!AM131,"")</f>
        <v/>
      </c>
      <c r="AR131" s="1037">
        <f>IF(AND(예산실적비교표!AN131&lt;&gt;"",예산실적비교표!AN131&gt;1),예산실적비교표!AN131,0)</f>
        <v>0</v>
      </c>
      <c r="AS131" s="1038">
        <f>IF(예산실적비교표!AO131&lt;&gt;"",예산실적비교표!AO131,0)</f>
        <v>0</v>
      </c>
      <c r="AT131" s="971">
        <f t="shared" si="32"/>
        <v>0</v>
      </c>
      <c r="AU131" s="1039">
        <f>IF(예산실적비교표!AQ131&lt;&gt;"",예산실적비교표!AQ131,0)</f>
        <v>0</v>
      </c>
      <c r="AV131" s="973">
        <f t="shared" si="33"/>
        <v>0</v>
      </c>
      <c r="AW131" s="974">
        <f>IF(AR131="",0,ROUND((AT131*$AT$7)*데이터입력!$AF$14+(AT131*$AU$7)*데이터입력!$AF$14+(AT131*$AU$7*$AV$7)*데이터입력!$AF$14+(AT131*$AW$7)*데이터입력!$AF$14+(AT131*$AX$7)*데이터입력!$AF$14,-1))</f>
        <v>0</v>
      </c>
      <c r="AX131" s="975">
        <f t="shared" si="34"/>
        <v>0</v>
      </c>
      <c r="AY131" s="976">
        <f>IFERROR(IF($AE$2=TRUE,IF(AR131+AS131=0,0,AR131+AS131),ROUND(IF(데이터입력!$AF$14=100%,ROUND(AR131*$AR$1,-3),ROUND(AR131*$AR$1,-3)-ROUND(((AR131*$AR$1)*$AT$4)*(데이터입력!$AF$14-100%)+((AR131*$AR$1)*$AU$4)*(데이터입력!$AF$14-100%)+((AR131*$AR$1)*$AU$4*$AV$4)*(데이터입력!$AF$14-100%)+((AR131*$AR$1)*$AW$4)*(데이터입력!$AF$14-100%),-1)),0)),0)</f>
        <v>0</v>
      </c>
      <c r="AZ131" s="977">
        <f>IFERROR(IF(AR131+AS131=0,0,IF(데이터입력!$AF$12=100%,(AT131),(AT131)+ROUND(AT131*(데이터입력!$AF$12-100%),-1))),0)</f>
        <v>0</v>
      </c>
      <c r="BA131" s="1097" t="str">
        <f>IFERROR(IF(AZ131=0,"",IF(AND(예산실적비교표!AP131&gt;0,예산실적비교표!AW131=0),"",ROUND(AZ131/12,0))),"")</f>
        <v/>
      </c>
      <c r="BB131" s="1096" t="str">
        <f>IF(BA131="","",IF(데이터입력!$O$70="",ROUND(AZ131/12,0),ROUND(데이터입력!$O$70/데이터입력!$Y$8/$BC$63,0)))</f>
        <v/>
      </c>
    </row>
    <row r="132" spans="1:54" ht="17.25" thickBot="1">
      <c r="A132" s="903" t="str">
        <f>IF($AM$1=TRUE,IF(K132="","",SUBTOTAL(2,$K$3:K132)),IF(AND(M132="",N132=""),"",IF(N132="",COUNT($M$3:M132),COUNT($N$3:N132)+200)))</f>
        <v/>
      </c>
      <c r="B132" s="368" t="s">
        <v>61</v>
      </c>
      <c r="C132" s="368" t="s">
        <v>615</v>
      </c>
      <c r="D132" s="367">
        <v>503010101</v>
      </c>
      <c r="E132" s="367" t="s">
        <v>85</v>
      </c>
      <c r="F132" s="367" t="s">
        <v>82</v>
      </c>
      <c r="G132" s="369">
        <f>IFERROR(IF($E132="05",VLOOKUP($B132,예산실적비교표!$AG$7:$AJ$200,2,FALSE),0),0)</f>
        <v>0</v>
      </c>
      <c r="H132" s="369">
        <f>IFERROR(IF($E132="06",VLOOKUP($C132,세출예산서!$K$3:$X$307,12,FALSE),0),0)</f>
        <v>0</v>
      </c>
      <c r="I132" s="369">
        <f>IFERROR(IF($E132="07",VLOOKUP($C132,세출예산서!$K$3:$X$307,13,FALSE),0),0)</f>
        <v>0</v>
      </c>
      <c r="J132" s="369">
        <f>IFERROR(IF($E132="05",VLOOKUP($C132,세출예산서!$K$3:$X$307,14,FALSE),0),0)</f>
        <v>0</v>
      </c>
      <c r="K132" s="369" t="str">
        <f t="shared" si="29"/>
        <v/>
      </c>
      <c r="L132" s="370">
        <f>IFERROR(IF($AB$2="",0,ROUNDUP(VLOOKUP($B132,예산실적비교표!$AG$7:$AJ$200,3,FALSE)*$Y$7/($Y$8-(12-$Y$9)),-2)*$Y$8),0)</f>
        <v>0</v>
      </c>
      <c r="M132" s="597" t="str">
        <f>IF($AM$1=TRUE,IF(K132="","",IF(IF($AE$2="",IF(K132="","",SUBTOTAL(2,$K$3:K132)),IF(AND(G132&gt;=0,K132=""),"",IF(AND(G132&gt;0,OR(K132&gt;0,K132&lt;0)),SUBTOTAL(2,$K$3:K132),IF(AND(G132=0,OR(K132&gt;0,K132&lt;0)),SUBTOTAL(2,$K$3:K132)+200,""))))&gt;200,"",1)),IF(K132="","",IF(IF($AE$2="",IF(K132="","",SUBTOTAL(2,$K$3:K132)),IF(AND(G132&gt;=0,K132=""),"",IF(AND(G132&gt;0,OR(K132&gt;0,K132&lt;0)),SUBTOTAL(2,$K$3:K132),IF(AND(G132=0,OR(K132&gt;0,K132&lt;0)),SUBTOTAL(2,$K$3:K132)+200,""))))&gt;200,"",1)))</f>
        <v/>
      </c>
      <c r="N132" s="161" t="str">
        <f>IF($AM$1=TRUE,IF(K132="","",IF(IF($AE$2="",IF(K132="","",SUBTOTAL(2,$K$3:K132)),IF(AND(G132&gt;=0,K132=""),"",IF(AND(G132&gt;0,OR(K132&gt;0,K132&lt;0)),SUBTOTAL(2,$K$3:K132),IF(AND(G132=0,OR(K132&gt;0,K132&lt;0)),SUBTOTAL(2,$K$3:K132)+200,""))))&lt;=200,"",2)),IF(K132="","",IF(IF($AE$2="",IF(K132="","",SUBTOTAL(2,$K$3:K132)),IF(AND(G132&gt;=0,K132=""),"",IF(AND(G132&gt;0,OR(K132&gt;0,K132&lt;0)),SUBTOTAL(2,$K$3:K132),IF(AND(G132=0,OR(K132&gt;0,K132&lt;0)),SUBTOTAL(2,$K$3:K132)+200,""))))&lt;=200,"",2)))</f>
        <v/>
      </c>
      <c r="O132" s="1098"/>
      <c r="P132" s="593">
        <f>$I$34+$I$33+$AB$22</f>
        <v>10000</v>
      </c>
      <c r="Q132" s="1099"/>
      <c r="R132" s="1100" t="s">
        <v>73</v>
      </c>
      <c r="S132" s="1101" t="s">
        <v>81</v>
      </c>
      <c r="T132" s="1102">
        <f>P132</f>
        <v>10000</v>
      </c>
      <c r="U132" s="1103">
        <f>IF(Q132=0,1,Q132)</f>
        <v>1</v>
      </c>
      <c r="V132" s="1104" t="s">
        <v>631</v>
      </c>
      <c r="AP132" s="1035" t="str">
        <f>IF(예산실적비교표!AL132&lt;&gt;"",예산실적비교표!AL132,"")</f>
        <v/>
      </c>
      <c r="AQ132" s="1036" t="str">
        <f>IF(예산실적비교표!AM132&lt;&gt;"",예산실적비교표!AM132,"")</f>
        <v/>
      </c>
      <c r="AR132" s="1037">
        <f>IF(AND(예산실적비교표!AN132&lt;&gt;"",예산실적비교표!AN132&gt;1),예산실적비교표!AN132,0)</f>
        <v>0</v>
      </c>
      <c r="AS132" s="1038">
        <f>IF(예산실적비교표!AO132&lt;&gt;"",예산실적비교표!AO132,0)</f>
        <v>0</v>
      </c>
      <c r="AT132" s="971">
        <f t="shared" si="32"/>
        <v>0</v>
      </c>
      <c r="AU132" s="1039">
        <f>IF(예산실적비교표!AQ132&lt;&gt;"",예산실적비교표!AQ132,0)</f>
        <v>0</v>
      </c>
      <c r="AV132" s="973">
        <f t="shared" si="33"/>
        <v>0</v>
      </c>
      <c r="AW132" s="974">
        <f>IF(AR132="",0,ROUND((AT132*$AT$7)*데이터입력!$AF$14+(AT132*$AU$7)*데이터입력!$AF$14+(AT132*$AU$7*$AV$7)*데이터입력!$AF$14+(AT132*$AW$7)*데이터입력!$AF$14+(AT132*$AX$7)*데이터입력!$AF$14,-1))</f>
        <v>0</v>
      </c>
      <c r="AX132" s="975">
        <f t="shared" si="34"/>
        <v>0</v>
      </c>
      <c r="AY132" s="976">
        <f>IFERROR(IF($AE$2=TRUE,IF(AR132+AS132=0,0,AR132+AS132),ROUND(IF(데이터입력!$AF$14=100%,ROUND(AR132*$AR$1,-3),ROUND(AR132*$AR$1,-3)-ROUND(((AR132*$AR$1)*$AT$4)*(데이터입력!$AF$14-100%)+((AR132*$AR$1)*$AU$4)*(데이터입력!$AF$14-100%)+((AR132*$AR$1)*$AU$4*$AV$4)*(데이터입력!$AF$14-100%)+((AR132*$AR$1)*$AW$4)*(데이터입력!$AF$14-100%),-1)),0)),0)</f>
        <v>0</v>
      </c>
      <c r="AZ132" s="977">
        <f>IFERROR(IF(AR132+AS132=0,0,IF(데이터입력!$AF$12=100%,(AT132),(AT132)+ROUND(AT132*(데이터입력!$AF$12-100%),-1))),0)</f>
        <v>0</v>
      </c>
      <c r="BA132" s="1097" t="str">
        <f>IFERROR(IF(AZ132=0,"",IF(AND(예산실적비교표!AP132&gt;0,예산실적비교표!AW132=0),"",ROUND(AZ132/12,0))),"")</f>
        <v/>
      </c>
      <c r="BB132" s="1096" t="str">
        <f>IF(BA132="","",IF(데이터입력!$O$70="",ROUND(AZ132/12,0),ROUND(데이터입력!$O$70/데이터입력!$Y$8/$BC$63,0)))</f>
        <v/>
      </c>
    </row>
    <row r="133" spans="1:54">
      <c r="A133" s="903" t="str">
        <f>IF($AM$1=TRUE,IF(K133="","",SUBTOTAL(2,$K$3:K133)),IF(AND(M133="",N133=""),"",IF(N133="",COUNT($M$3:M133),COUNT($N$3:N133)+200)))</f>
        <v/>
      </c>
      <c r="B133" s="368" t="s">
        <v>62</v>
      </c>
      <c r="C133" s="368" t="s">
        <v>616</v>
      </c>
      <c r="D133" s="367">
        <v>503010201</v>
      </c>
      <c r="E133" s="367" t="s">
        <v>85</v>
      </c>
      <c r="F133" s="367" t="s">
        <v>82</v>
      </c>
      <c r="G133" s="369">
        <f>IFERROR(IF($E133="05",VLOOKUP($B133,예산실적비교표!$AG$7:$AJ$200,2,FALSE),0),0)</f>
        <v>0</v>
      </c>
      <c r="H133" s="369">
        <f>IFERROR(IF($E133="06",VLOOKUP($C133,세출예산서!$K$3:$X$307,12,FALSE),0),0)</f>
        <v>0</v>
      </c>
      <c r="I133" s="369">
        <f>IFERROR(IF($E133="07",VLOOKUP($C133,세출예산서!$K$3:$X$307,13,FALSE),0),0)</f>
        <v>0</v>
      </c>
      <c r="J133" s="369">
        <f>IFERROR(IF($E133="05",VLOOKUP($C133,세출예산서!$K$3:$X$307,14,FALSE),0),0)</f>
        <v>0</v>
      </c>
      <c r="K133" s="369" t="str">
        <f t="shared" si="29"/>
        <v/>
      </c>
      <c r="L133" s="370">
        <f>IFERROR(IF($AB$2="",0,ROUNDUP(VLOOKUP($B133,예산실적비교표!$AG$7:$AJ$200,3,FALSE)*$Y$7/($Y$8-(12-$Y$9)),-2)*$Y$8),0)</f>
        <v>0</v>
      </c>
      <c r="M133" s="597" t="str">
        <f>IF($AM$1=TRUE,IF(K133="","",IF(IF($AE$2="",IF(K133="","",SUBTOTAL(2,$K$3:K133)),IF(AND(G133&gt;=0,K133=""),"",IF(AND(G133&gt;0,OR(K133&gt;0,K133&lt;0)),SUBTOTAL(2,$K$3:K133),IF(AND(G133=0,OR(K133&gt;0,K133&lt;0)),SUBTOTAL(2,$K$3:K133)+200,""))))&gt;200,"",1)),IF(K133="","",IF(IF($AE$2="",IF(K133="","",SUBTOTAL(2,$K$3:K133)),IF(AND(G133&gt;=0,K133=""),"",IF(AND(G133&gt;0,OR(K133&gt;0,K133&lt;0)),SUBTOTAL(2,$K$3:K133),IF(AND(G133=0,OR(K133&gt;0,K133&lt;0)),SUBTOTAL(2,$K$3:K133)+200,""))))&gt;200,"",1)))</f>
        <v/>
      </c>
      <c r="N133" s="161" t="str">
        <f>IF($AM$1=TRUE,IF(K133="","",IF(IF($AE$2="",IF(K133="","",SUBTOTAL(2,$K$3:K133)),IF(AND(G133&gt;=0,K133=""),"",IF(AND(G133&gt;0,OR(K133&gt;0,K133&lt;0)),SUBTOTAL(2,$K$3:K133),IF(AND(G133=0,OR(K133&gt;0,K133&lt;0)),SUBTOTAL(2,$K$3:K133)+200,""))))&lt;=200,"",2)),IF(K133="","",IF(IF($AE$2="",IF(K133="","",SUBTOTAL(2,$K$3:K133)),IF(AND(G133&gt;=0,K133=""),"",IF(AND(G133&gt;0,OR(K133&gt;0,K133&lt;0)),SUBTOTAL(2,$K$3:K133),IF(AND(G133=0,OR(K133&gt;0,K133&lt;0)),SUBTOTAL(2,$K$3:K133)+200,""))))&lt;=200,"",2)))</f>
        <v/>
      </c>
      <c r="O133" s="481"/>
      <c r="P133" s="1127">
        <f>IFERROR(IF(VLOOKUP(R133,$B$111:$L$137,11,FALSE)&gt;0,VLOOKUP(R133,$B$111:$L$137,11,FALSE),0),0)</f>
        <v>0</v>
      </c>
      <c r="Q133" s="1105">
        <v>0</v>
      </c>
      <c r="R133" s="445" t="s">
        <v>40</v>
      </c>
      <c r="S133" s="446" t="s">
        <v>82</v>
      </c>
      <c r="T133" s="408">
        <f>IF(O133="",P133,O133)</f>
        <v>0</v>
      </c>
      <c r="U133" s="497">
        <f t="shared" ref="U133:U149" si="35">IF(Q133=0,$Y$8,Q133)</f>
        <v>12</v>
      </c>
      <c r="V133" s="440" t="s">
        <v>126</v>
      </c>
      <c r="AP133" s="1035" t="str">
        <f>IF(예산실적비교표!AL133&lt;&gt;"",예산실적비교표!AL133,"")</f>
        <v/>
      </c>
      <c r="AQ133" s="1036" t="str">
        <f>IF(예산실적비교표!AM133&lt;&gt;"",예산실적비교표!AM133,"")</f>
        <v/>
      </c>
      <c r="AR133" s="1037">
        <f>IF(AND(예산실적비교표!AN133&lt;&gt;"",예산실적비교표!AN133&gt;1),예산실적비교표!AN133,0)</f>
        <v>0</v>
      </c>
      <c r="AS133" s="1038">
        <f>IF(예산실적비교표!AO133&lt;&gt;"",예산실적비교표!AO133,0)</f>
        <v>0</v>
      </c>
      <c r="AT133" s="971">
        <f t="shared" si="32"/>
        <v>0</v>
      </c>
      <c r="AU133" s="1039">
        <f>IF(예산실적비교표!AQ133&lt;&gt;"",예산실적비교표!AQ133,0)</f>
        <v>0</v>
      </c>
      <c r="AV133" s="973">
        <f t="shared" si="33"/>
        <v>0</v>
      </c>
      <c r="AW133" s="974">
        <f>IF(AR133="",0,ROUND((AT133*$AT$7)*데이터입력!$AF$14+(AT133*$AU$7)*데이터입력!$AF$14+(AT133*$AU$7*$AV$7)*데이터입력!$AF$14+(AT133*$AW$7)*데이터입력!$AF$14+(AT133*$AX$7)*데이터입력!$AF$14,-1))</f>
        <v>0</v>
      </c>
      <c r="AX133" s="975">
        <f t="shared" si="34"/>
        <v>0</v>
      </c>
      <c r="AY133" s="976">
        <f>IFERROR(IF($AE$2=TRUE,IF(AR133+AS133=0,0,AR133+AS133),ROUND(IF(데이터입력!$AF$14=100%,ROUND(AR133*$AR$1,-3),ROUND(AR133*$AR$1,-3)-ROUND(((AR133*$AR$1)*$AT$4)*(데이터입력!$AF$14-100%)+((AR133*$AR$1)*$AU$4)*(데이터입력!$AF$14-100%)+((AR133*$AR$1)*$AU$4*$AV$4)*(데이터입력!$AF$14-100%)+((AR133*$AR$1)*$AW$4)*(데이터입력!$AF$14-100%),-1)),0)),0)</f>
        <v>0</v>
      </c>
      <c r="AZ133" s="977">
        <f>IFERROR(IF(AR133+AS133=0,0,IF(데이터입력!$AF$12=100%,(AT133),(AT133)+ROUND(AT133*(데이터입력!$AF$12-100%),-1))),0)</f>
        <v>0</v>
      </c>
      <c r="BA133" s="1097" t="str">
        <f>IFERROR(IF(AZ133=0,"",IF(AND(예산실적비교표!AP133&gt;0,예산실적비교표!AW133=0),"",ROUND(AZ133/12,0))),"")</f>
        <v/>
      </c>
      <c r="BB133" s="1096" t="str">
        <f>IF(BA133="","",IF(데이터입력!$O$70="",ROUND(AZ133/12,0),ROUND(데이터입력!$O$70/데이터입력!$Y$8/$BC$63,0)))</f>
        <v/>
      </c>
    </row>
    <row r="134" spans="1:54">
      <c r="A134" s="903" t="str">
        <f>IF($AM$1=TRUE,IF(K134="","",SUBTOTAL(2,$K$3:K134)),IF(AND(M134="",N134=""),"",IF(N134="",COUNT($M$3:M134),COUNT($N$3:N134)+200)))</f>
        <v/>
      </c>
      <c r="B134" s="368" t="s">
        <v>63</v>
      </c>
      <c r="C134" s="368" t="s">
        <v>617</v>
      </c>
      <c r="D134" s="367">
        <v>503010401</v>
      </c>
      <c r="E134" s="367" t="s">
        <v>85</v>
      </c>
      <c r="F134" s="367" t="s">
        <v>82</v>
      </c>
      <c r="G134" s="369">
        <f>IFERROR(IF($E134="05",VLOOKUP($B134,예산실적비교표!$AG$7:$AJ$200,2,FALSE),0),0)</f>
        <v>0</v>
      </c>
      <c r="H134" s="369">
        <f>IFERROR(IF($E134="06",VLOOKUP($C134,세출예산서!$K$3:$X$307,12,FALSE),0),0)</f>
        <v>0</v>
      </c>
      <c r="I134" s="369">
        <f>IFERROR(IF($E134="07",VLOOKUP($C134,세출예산서!$K$3:$X$307,13,FALSE),0),0)</f>
        <v>0</v>
      </c>
      <c r="J134" s="369">
        <f>IFERROR(IF($E134="05",VLOOKUP($C134,세출예산서!$K$3:$X$307,14,FALSE),0),0)</f>
        <v>0</v>
      </c>
      <c r="K134" s="369" t="str">
        <f t="shared" si="29"/>
        <v/>
      </c>
      <c r="L134" s="370">
        <f>IFERROR(IF($AB$2="",0,ROUNDUP(VLOOKUP($B134,예산실적비교표!$AG$7:$AJ$200,3,FALSE)*$Y$7/($Y$8-(12-$Y$9)),-2)*$Y$8),0)</f>
        <v>0</v>
      </c>
      <c r="M134" s="597" t="str">
        <f>IF($AM$1=TRUE,IF(K134="","",IF(IF($AE$2="",IF(K134="","",SUBTOTAL(2,$K$3:K134)),IF(AND(G134&gt;=0,K134=""),"",IF(AND(G134&gt;0,OR(K134&gt;0,K134&lt;0)),SUBTOTAL(2,$K$3:K134),IF(AND(G134=0,OR(K134&gt;0,K134&lt;0)),SUBTOTAL(2,$K$3:K134)+200,""))))&gt;200,"",1)),IF(K134="","",IF(IF($AE$2="",IF(K134="","",SUBTOTAL(2,$K$3:K134)),IF(AND(G134&gt;=0,K134=""),"",IF(AND(G134&gt;0,OR(K134&gt;0,K134&lt;0)),SUBTOTAL(2,$K$3:K134),IF(AND(G134=0,OR(K134&gt;0,K134&lt;0)),SUBTOTAL(2,$K$3:K134)+200,""))))&gt;200,"",1)))</f>
        <v/>
      </c>
      <c r="N134" s="161" t="str">
        <f>IF($AM$1=TRUE,IF(K134="","",IF(IF($AE$2="",IF(K134="","",SUBTOTAL(2,$K$3:K134)),IF(AND(G134&gt;=0,K134=""),"",IF(AND(G134&gt;0,OR(K134&gt;0,K134&lt;0)),SUBTOTAL(2,$K$3:K134),IF(AND(G134=0,OR(K134&gt;0,K134&lt;0)),SUBTOTAL(2,$K$3:K134)+200,""))))&lt;=200,"",2)),IF(K134="","",IF(IF($AE$2="",IF(K134="","",SUBTOTAL(2,$K$3:K134)),IF(AND(G134&gt;=0,K134=""),"",IF(AND(G134&gt;0,OR(K134&gt;0,K134&lt;0)),SUBTOTAL(2,$K$3:K134),IF(AND(G134=0,OR(K134&gt;0,K134&lt;0)),SUBTOTAL(2,$K$3:K134)+200,""))))&lt;=200,"",2)))</f>
        <v/>
      </c>
      <c r="O134" s="482"/>
      <c r="P134" s="594">
        <f t="shared" ref="P134:P142" si="36">IFERROR(IF(VLOOKUP(R134,$B$111:$L$137,11,FALSE)&gt;0,VLOOKUP(R134,$B$111:$L$137,11,FALSE),0),0)</f>
        <v>0</v>
      </c>
      <c r="Q134" s="487">
        <v>0</v>
      </c>
      <c r="R134" s="447" t="s">
        <v>41</v>
      </c>
      <c r="S134" s="448" t="s">
        <v>82</v>
      </c>
      <c r="T134" s="412">
        <f>IF(O134="",P134,O134)</f>
        <v>0</v>
      </c>
      <c r="U134" s="498">
        <f t="shared" si="35"/>
        <v>12</v>
      </c>
      <c r="V134" s="360" t="s">
        <v>126</v>
      </c>
      <c r="AP134" s="1035" t="str">
        <f>IF(예산실적비교표!AL134&lt;&gt;"",예산실적비교표!AL134,"")</f>
        <v/>
      </c>
      <c r="AQ134" s="1036" t="str">
        <f>IF(예산실적비교표!AM134&lt;&gt;"",예산실적비교표!AM134,"")</f>
        <v/>
      </c>
      <c r="AR134" s="1037">
        <f>IF(AND(예산실적비교표!AN134&lt;&gt;"",예산실적비교표!AN134&gt;1),예산실적비교표!AN134,0)</f>
        <v>0</v>
      </c>
      <c r="AS134" s="1038">
        <f>IF(예산실적비교표!AO134&lt;&gt;"",예산실적비교표!AO134,0)</f>
        <v>0</v>
      </c>
      <c r="AT134" s="971">
        <f t="shared" si="32"/>
        <v>0</v>
      </c>
      <c r="AU134" s="1039">
        <f>IF(예산실적비교표!AQ134&lt;&gt;"",예산실적비교표!AQ134,0)</f>
        <v>0</v>
      </c>
      <c r="AV134" s="973">
        <f t="shared" si="33"/>
        <v>0</v>
      </c>
      <c r="AW134" s="974">
        <f>IF(AR134="",0,ROUND((AT134*$AT$7)*데이터입력!$AF$14+(AT134*$AU$7)*데이터입력!$AF$14+(AT134*$AU$7*$AV$7)*데이터입력!$AF$14+(AT134*$AW$7)*데이터입력!$AF$14+(AT134*$AX$7)*데이터입력!$AF$14,-1))</f>
        <v>0</v>
      </c>
      <c r="AX134" s="975">
        <f t="shared" si="34"/>
        <v>0</v>
      </c>
      <c r="AY134" s="976">
        <f>IFERROR(IF($AE$2=TRUE,IF(AR134+AS134=0,0,AR134+AS134),ROUND(IF(데이터입력!$AF$14=100%,ROUND(AR134*$AR$1,-3),ROUND(AR134*$AR$1,-3)-ROUND(((AR134*$AR$1)*$AT$4)*(데이터입력!$AF$14-100%)+((AR134*$AR$1)*$AU$4)*(데이터입력!$AF$14-100%)+((AR134*$AR$1)*$AU$4*$AV$4)*(데이터입력!$AF$14-100%)+((AR134*$AR$1)*$AW$4)*(데이터입력!$AF$14-100%),-1)),0)),0)</f>
        <v>0</v>
      </c>
      <c r="AZ134" s="977">
        <f>IFERROR(IF(AR134+AS134=0,0,IF(데이터입력!$AF$12=100%,(AT134),(AT134)+ROUND(AT134*(데이터입력!$AF$12-100%),-1))),0)</f>
        <v>0</v>
      </c>
      <c r="BA134" s="1097" t="str">
        <f>IFERROR(IF(AZ134=0,"",IF(AND(예산실적비교표!AP134&gt;0,예산실적비교표!AW134=0),"",ROUND(AZ134/12,0))),"")</f>
        <v/>
      </c>
      <c r="BB134" s="1096" t="str">
        <f>IF(BA134="","",IF(데이터입력!$O$70="",ROUND(AZ134/12,0),ROUND(데이터입력!$O$70/데이터입력!$Y$8/$BC$63,0)))</f>
        <v/>
      </c>
    </row>
    <row r="135" spans="1:54">
      <c r="A135" s="903" t="str">
        <f>IF($AM$1=TRUE,IF(K135="","",SUBTOTAL(2,$K$3:K135)),IF(AND(M135="",N135=""),"",IF(N135="",COUNT($M$3:M135),COUNT($N$3:N135)+200)))</f>
        <v/>
      </c>
      <c r="B135" s="368" t="s">
        <v>64</v>
      </c>
      <c r="C135" s="368" t="s">
        <v>618</v>
      </c>
      <c r="D135" s="367">
        <v>503010501</v>
      </c>
      <c r="E135" s="367" t="s">
        <v>85</v>
      </c>
      <c r="F135" s="367" t="s">
        <v>82</v>
      </c>
      <c r="G135" s="369">
        <f>IFERROR(IF($E135="05",VLOOKUP($B135,예산실적비교표!$AG$7:$AJ$200,2,FALSE),0),0)</f>
        <v>0</v>
      </c>
      <c r="H135" s="369">
        <f>IFERROR(IF($E135="06",VLOOKUP($C135,세출예산서!$K$3:$X$307,12,FALSE),0),0)</f>
        <v>0</v>
      </c>
      <c r="I135" s="369">
        <f>IFERROR(IF($E135="07",VLOOKUP($C135,세출예산서!$K$3:$X$307,13,FALSE),0),0)</f>
        <v>0</v>
      </c>
      <c r="J135" s="369">
        <f>IFERROR(IF($E135="05",VLOOKUP($C135,세출예산서!$K$3:$X$307,14,FALSE),0),0)</f>
        <v>0</v>
      </c>
      <c r="K135" s="369" t="str">
        <f t="shared" si="29"/>
        <v/>
      </c>
      <c r="L135" s="370">
        <f>IFERROR(IF($AB$2="",0,ROUNDUP(VLOOKUP($B135,예산실적비교표!$AG$7:$AJ$200,3,FALSE)*$Y$7/($Y$8-(12-$Y$9)),-2)*$Y$8),0)</f>
        <v>0</v>
      </c>
      <c r="M135" s="597" t="str">
        <f>IF($AM$1=TRUE,IF(K135="","",IF(IF($AE$2="",IF(K135="","",SUBTOTAL(2,$K$3:K135)),IF(AND(G135&gt;=0,K135=""),"",IF(AND(G135&gt;0,OR(K135&gt;0,K135&lt;0)),SUBTOTAL(2,$K$3:K135),IF(AND(G135=0,OR(K135&gt;0,K135&lt;0)),SUBTOTAL(2,$K$3:K135)+200,""))))&gt;200,"",1)),IF(K135="","",IF(IF($AE$2="",IF(K135="","",SUBTOTAL(2,$K$3:K135)),IF(AND(G135&gt;=0,K135=""),"",IF(AND(G135&gt;0,OR(K135&gt;0,K135&lt;0)),SUBTOTAL(2,$K$3:K135),IF(AND(G135=0,OR(K135&gt;0,K135&lt;0)),SUBTOTAL(2,$K$3:K135)+200,""))))&gt;200,"",1)))</f>
        <v/>
      </c>
      <c r="N135" s="161" t="str">
        <f>IF($AM$1=TRUE,IF(K135="","",IF(IF($AE$2="",IF(K135="","",SUBTOTAL(2,$K$3:K135)),IF(AND(G135&gt;=0,K135=""),"",IF(AND(G135&gt;0,OR(K135&gt;0,K135&lt;0)),SUBTOTAL(2,$K$3:K135),IF(AND(G135=0,OR(K135&gt;0,K135&lt;0)),SUBTOTAL(2,$K$3:K135)+200,""))))&lt;=200,"",2)),IF(K135="","",IF(IF($AE$2="",IF(K135="","",SUBTOTAL(2,$K$3:K135)),IF(AND(G135&gt;=0,K135=""),"",IF(AND(G135&gt;0,OR(K135&gt;0,K135&lt;0)),SUBTOTAL(2,$K$3:K135),IF(AND(G135=0,OR(K135&gt;0,K135&lt;0)),SUBTOTAL(2,$K$3:K135)+200,""))))&lt;=200,"",2)))</f>
        <v/>
      </c>
      <c r="O135" s="482"/>
      <c r="P135" s="594">
        <f t="shared" si="36"/>
        <v>0</v>
      </c>
      <c r="Q135" s="487">
        <v>0</v>
      </c>
      <c r="R135" s="447" t="s">
        <v>42</v>
      </c>
      <c r="S135" s="448" t="s">
        <v>82</v>
      </c>
      <c r="T135" s="412">
        <f>IF(O135="",P135,O135)</f>
        <v>0</v>
      </c>
      <c r="U135" s="498">
        <f t="shared" si="35"/>
        <v>12</v>
      </c>
      <c r="V135" s="360" t="s">
        <v>126</v>
      </c>
      <c r="AP135" s="1035" t="str">
        <f>IF(예산실적비교표!AL135&lt;&gt;"",예산실적비교표!AL135,"")</f>
        <v/>
      </c>
      <c r="AQ135" s="1036" t="str">
        <f>IF(예산실적비교표!AM135&lt;&gt;"",예산실적비교표!AM135,"")</f>
        <v/>
      </c>
      <c r="AR135" s="1037">
        <f>IF(AND(예산실적비교표!AN135&lt;&gt;"",예산실적비교표!AN135&gt;1),예산실적비교표!AN135,0)</f>
        <v>0</v>
      </c>
      <c r="AS135" s="1038">
        <f>IF(예산실적비교표!AO135&lt;&gt;"",예산실적비교표!AO135,0)</f>
        <v>0</v>
      </c>
      <c r="AT135" s="971">
        <f t="shared" si="32"/>
        <v>0</v>
      </c>
      <c r="AU135" s="1039">
        <f>IF(예산실적비교표!AQ135&lt;&gt;"",예산실적비교표!AQ135,0)</f>
        <v>0</v>
      </c>
      <c r="AV135" s="973">
        <f t="shared" si="33"/>
        <v>0</v>
      </c>
      <c r="AW135" s="974">
        <f>IF(AR135="",0,ROUND((AT135*$AT$7)*데이터입력!$AF$14+(AT135*$AU$7)*데이터입력!$AF$14+(AT135*$AU$7*$AV$7)*데이터입력!$AF$14+(AT135*$AW$7)*데이터입력!$AF$14+(AT135*$AX$7)*데이터입력!$AF$14,-1))</f>
        <v>0</v>
      </c>
      <c r="AX135" s="975">
        <f t="shared" si="34"/>
        <v>0</v>
      </c>
      <c r="AY135" s="976">
        <f>IFERROR(IF($AE$2=TRUE,IF(AR135+AS135=0,0,AR135+AS135),ROUND(IF(데이터입력!$AF$14=100%,ROUND(AR135*$AR$1,-3),ROUND(AR135*$AR$1,-3)-ROUND(((AR135*$AR$1)*$AT$4)*(데이터입력!$AF$14-100%)+((AR135*$AR$1)*$AU$4)*(데이터입력!$AF$14-100%)+((AR135*$AR$1)*$AU$4*$AV$4)*(데이터입력!$AF$14-100%)+((AR135*$AR$1)*$AW$4)*(데이터입력!$AF$14-100%),-1)),0)),0)</f>
        <v>0</v>
      </c>
      <c r="AZ135" s="977">
        <f>IFERROR(IF(AR135+AS135=0,0,IF(데이터입력!$AF$12=100%,(AT135),(AT135)+ROUND(AT135*(데이터입력!$AF$12-100%),-1))),0)</f>
        <v>0</v>
      </c>
      <c r="BA135" s="1097" t="str">
        <f>IFERROR(IF(AZ135=0,"",IF(AND(예산실적비교표!AP135&gt;0,예산실적비교표!AW135=0),"",ROUND(AZ135/12,0))),"")</f>
        <v/>
      </c>
      <c r="BB135" s="1096" t="str">
        <f>IF(BA135="","",IF(데이터입력!$O$70="",ROUND(AZ135/12,0),ROUND(데이터입력!$O$70/데이터입력!$Y$8/$BC$63,0)))</f>
        <v/>
      </c>
    </row>
    <row r="136" spans="1:54">
      <c r="A136" s="903" t="str">
        <f>IF($AM$1=TRUE,IF(K136="","",SUBTOTAL(2,$K$3:K136)),IF(AND(M136="",N136=""),"",IF(N136="",COUNT($M$3:M136),COUNT($N$3:N136)+200)))</f>
        <v/>
      </c>
      <c r="B136" s="368" t="s">
        <v>65</v>
      </c>
      <c r="C136" s="368" t="s">
        <v>619</v>
      </c>
      <c r="D136" s="367">
        <v>503030101</v>
      </c>
      <c r="E136" s="367" t="s">
        <v>85</v>
      </c>
      <c r="F136" s="367" t="s">
        <v>82</v>
      </c>
      <c r="G136" s="369">
        <f>IFERROR(IF($E136="05",VLOOKUP($B136,예산실적비교표!$AG$7:$AJ$200,2,FALSE),0),0)</f>
        <v>0</v>
      </c>
      <c r="H136" s="369">
        <f>IFERROR(IF($E136="06",VLOOKUP($C136,세출예산서!$K$3:$X$307,12,FALSE),0),0)</f>
        <v>0</v>
      </c>
      <c r="I136" s="369">
        <f>IFERROR(IF($E136="07",VLOOKUP($C136,세출예산서!$K$3:$X$307,13,FALSE),0),0)</f>
        <v>0</v>
      </c>
      <c r="J136" s="369">
        <f>IFERROR(IF($E136="05",VLOOKUP($C136,세출예산서!$K$3:$X$307,14,FALSE),0),0)</f>
        <v>0</v>
      </c>
      <c r="K136" s="369" t="str">
        <f t="shared" si="29"/>
        <v/>
      </c>
      <c r="L136" s="370">
        <f>IFERROR(IF($AB$2="",0,ROUNDUP(VLOOKUP($B136,예산실적비교표!$AG$7:$AJ$200,3,FALSE)*$Y$7/($Y$8-(12-$Y$9)),-2)*$Y$8),0)</f>
        <v>0</v>
      </c>
      <c r="M136" s="597" t="str">
        <f>IF($AM$1=TRUE,IF(K136="","",IF(IF($AE$2="",IF(K136="","",SUBTOTAL(2,$K$3:K136)),IF(AND(G136&gt;=0,K136=""),"",IF(AND(G136&gt;0,OR(K136&gt;0,K136&lt;0)),SUBTOTAL(2,$K$3:K136),IF(AND(G136=0,OR(K136&gt;0,K136&lt;0)),SUBTOTAL(2,$K$3:K136)+200,""))))&gt;200,"",1)),IF(K136="","",IF(IF($AE$2="",IF(K136="","",SUBTOTAL(2,$K$3:K136)),IF(AND(G136&gt;=0,K136=""),"",IF(AND(G136&gt;0,OR(K136&gt;0,K136&lt;0)),SUBTOTAL(2,$K$3:K136),IF(AND(G136=0,OR(K136&gt;0,K136&lt;0)),SUBTOTAL(2,$K$3:K136)+200,""))))&gt;200,"",1)))</f>
        <v/>
      </c>
      <c r="N136" s="161" t="str">
        <f>IF($AM$1=TRUE,IF(K136="","",IF(IF($AE$2="",IF(K136="","",SUBTOTAL(2,$K$3:K136)),IF(AND(G136&gt;=0,K136=""),"",IF(AND(G136&gt;0,OR(K136&gt;0,K136&lt;0)),SUBTOTAL(2,$K$3:K136),IF(AND(G136=0,OR(K136&gt;0,K136&lt;0)),SUBTOTAL(2,$K$3:K136)+200,""))))&lt;=200,"",2)),IF(K136="","",IF(IF($AE$2="",IF(K136="","",SUBTOTAL(2,$K$3:K136)),IF(AND(G136&gt;=0,K136=""),"",IF(AND(G136&gt;0,OR(K136&gt;0,K136&lt;0)),SUBTOTAL(2,$K$3:K136),IF(AND(G136=0,OR(K136&gt;0,K136&lt;0)),SUBTOTAL(2,$K$3:K136)+200,""))))&lt;=200,"",2)))</f>
        <v/>
      </c>
      <c r="O136" s="482"/>
      <c r="P136" s="594">
        <f t="shared" si="36"/>
        <v>0</v>
      </c>
      <c r="Q136" s="487">
        <v>0</v>
      </c>
      <c r="R136" s="447" t="s">
        <v>43</v>
      </c>
      <c r="S136" s="448" t="s">
        <v>82</v>
      </c>
      <c r="T136" s="412">
        <f>IF(O136="",P136,O136)</f>
        <v>0</v>
      </c>
      <c r="U136" s="498">
        <f t="shared" si="35"/>
        <v>12</v>
      </c>
      <c r="V136" s="360" t="s">
        <v>126</v>
      </c>
      <c r="AP136" s="1035" t="str">
        <f>IF(예산실적비교표!AL136&lt;&gt;"",예산실적비교표!AL136,"")</f>
        <v/>
      </c>
      <c r="AQ136" s="1036" t="str">
        <f>IF(예산실적비교표!AM136&lt;&gt;"",예산실적비교표!AM136,"")</f>
        <v/>
      </c>
      <c r="AR136" s="1037">
        <f>IF(AND(예산실적비교표!AN136&lt;&gt;"",예산실적비교표!AN136&gt;1),예산실적비교표!AN136,0)</f>
        <v>0</v>
      </c>
      <c r="AS136" s="1038">
        <f>IF(예산실적비교표!AO136&lt;&gt;"",예산실적비교표!AO136,0)</f>
        <v>0</v>
      </c>
      <c r="AT136" s="971">
        <f t="shared" si="32"/>
        <v>0</v>
      </c>
      <c r="AU136" s="1039">
        <f>IF(예산실적비교표!AQ136&lt;&gt;"",예산실적비교표!AQ136,0)</f>
        <v>0</v>
      </c>
      <c r="AV136" s="973">
        <f t="shared" si="33"/>
        <v>0</v>
      </c>
      <c r="AW136" s="974">
        <f>IF(AR136="",0,ROUND((AT136*$AT$7)*데이터입력!$AF$14+(AT136*$AU$7)*데이터입력!$AF$14+(AT136*$AU$7*$AV$7)*데이터입력!$AF$14+(AT136*$AW$7)*데이터입력!$AF$14+(AT136*$AX$7)*데이터입력!$AF$14,-1))</f>
        <v>0</v>
      </c>
      <c r="AX136" s="975">
        <f t="shared" si="34"/>
        <v>0</v>
      </c>
      <c r="AY136" s="976">
        <f>IFERROR(IF($AE$2=TRUE,IF(AR136+AS136=0,0,AR136+AS136),ROUND(IF(데이터입력!$AF$14=100%,ROUND(AR136*$AR$1,-3),ROUND(AR136*$AR$1,-3)-ROUND(((AR136*$AR$1)*$AT$4)*(데이터입력!$AF$14-100%)+((AR136*$AR$1)*$AU$4)*(데이터입력!$AF$14-100%)+((AR136*$AR$1)*$AU$4*$AV$4)*(데이터입력!$AF$14-100%)+((AR136*$AR$1)*$AW$4)*(데이터입력!$AF$14-100%),-1)),0)),0)</f>
        <v>0</v>
      </c>
      <c r="AZ136" s="977">
        <f>IFERROR(IF(AR136+AS136=0,0,IF(데이터입력!$AF$12=100%,(AT136),(AT136)+ROUND(AT136*(데이터입력!$AF$12-100%),-1))),0)</f>
        <v>0</v>
      </c>
      <c r="BA136" s="1097" t="str">
        <f>IFERROR(IF(AZ136=0,"",IF(AND(예산실적비교표!AP136&gt;0,예산실적비교표!AW136=0),"",ROUND(AZ136/12,0))),"")</f>
        <v/>
      </c>
      <c r="BB136" s="1096" t="str">
        <f>IF(BA136="","",IF(데이터입력!$O$70="",ROUND(AZ136/12,0),ROUND(데이터입력!$O$70/데이터입력!$Y$8/$BC$63,0)))</f>
        <v/>
      </c>
    </row>
    <row r="137" spans="1:54" ht="17.25" thickBot="1">
      <c r="A137" s="903" t="str">
        <f>IF($AM$1=TRUE,IF(K137="","",SUBTOTAL(2,$K$3:K137)),IF(AND(M137="",N137=""),"",IF(N137="",COUNT($M$3:M137),COUNT($N$3:N137)+200)))</f>
        <v/>
      </c>
      <c r="B137" s="368" t="s">
        <v>68</v>
      </c>
      <c r="C137" s="368" t="s">
        <v>620</v>
      </c>
      <c r="D137" s="367">
        <v>505010101</v>
      </c>
      <c r="E137" s="367" t="s">
        <v>85</v>
      </c>
      <c r="F137" s="367" t="s">
        <v>82</v>
      </c>
      <c r="G137" s="369">
        <f>IFERROR(IF($E137="05",VLOOKUP($B137,예산실적비교표!$AG$7:$AJ$200,2,FALSE),0),0)</f>
        <v>0</v>
      </c>
      <c r="H137" s="369">
        <f>IFERROR(IF($E137="06",VLOOKUP($C137,세출예산서!$K$3:$X$307,12,FALSE),0),0)</f>
        <v>0</v>
      </c>
      <c r="I137" s="369">
        <f>IFERROR(IF($E137="07",VLOOKUP($C137,세출예산서!$K$3:$X$307,13,FALSE),0),0)</f>
        <v>0</v>
      </c>
      <c r="J137" s="369">
        <f>IFERROR(IF($E137="05",VLOOKUP($C137,세출예산서!$K$3:$X$307,14,FALSE),0),0)</f>
        <v>0</v>
      </c>
      <c r="K137" s="369" t="str">
        <f t="shared" si="29"/>
        <v/>
      </c>
      <c r="L137" s="370">
        <f>IFERROR(IF($AB$2="",0,ROUNDUP(VLOOKUP($B137,예산실적비교표!$AG$7:$AJ$200,3,FALSE)*$Y$7/($Y$8-(12-$Y$9)),-2)*$Y$8),0)</f>
        <v>0</v>
      </c>
      <c r="M137" s="597" t="str">
        <f>IF($AM$1=TRUE,IF(K137="","",IF(IF($AE$2="",IF(K137="","",SUBTOTAL(2,$K$3:K137)),IF(AND(G137&gt;=0,K137=""),"",IF(AND(G137&gt;0,OR(K137&gt;0,K137&lt;0)),SUBTOTAL(2,$K$3:K137),IF(AND(G137=0,OR(K137&gt;0,K137&lt;0)),SUBTOTAL(2,$K$3:K137)+200,""))))&gt;200,"",1)),IF(K137="","",IF(IF($AE$2="",IF(K137="","",SUBTOTAL(2,$K$3:K137)),IF(AND(G137&gt;=0,K137=""),"",IF(AND(G137&gt;0,OR(K137&gt;0,K137&lt;0)),SUBTOTAL(2,$K$3:K137),IF(AND(G137=0,OR(K137&gt;0,K137&lt;0)),SUBTOTAL(2,$K$3:K137)+200,""))))&gt;200,"",1)))</f>
        <v/>
      </c>
      <c r="N137" s="161" t="str">
        <f>IF($AM$1=TRUE,IF(K137="","",IF(IF($AE$2="",IF(K137="","",SUBTOTAL(2,$K$3:K137)),IF(AND(G137&gt;=0,K137=""),"",IF(AND(G137&gt;0,OR(K137&gt;0,K137&lt;0)),SUBTOTAL(2,$K$3:K137),IF(AND(G137=0,OR(K137&gt;0,K137&lt;0)),SUBTOTAL(2,$K$3:K137)+200,""))))&lt;=200,"",2)),IF(K137="","",IF(IF($AE$2="",IF(K137="","",SUBTOTAL(2,$K$3:K137)),IF(AND(G137&gt;=0,K137=""),"",IF(AND(G137&gt;0,OR(K137&gt;0,K137&lt;0)),SUBTOTAL(2,$K$3:K137),IF(AND(G137=0,OR(K137&gt;0,K137&lt;0)),SUBTOTAL(2,$K$3:K137)+200,""))))&lt;=200,"",2)))</f>
        <v/>
      </c>
      <c r="O137" s="482"/>
      <c r="P137" s="594">
        <f t="shared" si="36"/>
        <v>0</v>
      </c>
      <c r="Q137" s="487">
        <v>0</v>
      </c>
      <c r="R137" s="447" t="s">
        <v>44</v>
      </c>
      <c r="S137" s="448" t="s">
        <v>82</v>
      </c>
      <c r="T137" s="412">
        <f t="shared" si="23"/>
        <v>0</v>
      </c>
      <c r="U137" s="498">
        <f t="shared" si="35"/>
        <v>12</v>
      </c>
      <c r="V137" s="360" t="s">
        <v>126</v>
      </c>
      <c r="AP137" s="1035" t="str">
        <f>IF(예산실적비교표!AL137&lt;&gt;"",예산실적비교표!AL137,"")</f>
        <v/>
      </c>
      <c r="AQ137" s="1036" t="str">
        <f>IF(예산실적비교표!AM137&lt;&gt;"",예산실적비교표!AM137,"")</f>
        <v/>
      </c>
      <c r="AR137" s="1037">
        <f>IF(AND(예산실적비교표!AN137&lt;&gt;"",예산실적비교표!AN137&gt;1),예산실적비교표!AN137,0)</f>
        <v>0</v>
      </c>
      <c r="AS137" s="1038">
        <f>IF(예산실적비교표!AO137&lt;&gt;"",예산실적비교표!AO137,0)</f>
        <v>0</v>
      </c>
      <c r="AT137" s="971">
        <f t="shared" si="32"/>
        <v>0</v>
      </c>
      <c r="AU137" s="1039">
        <f>IF(예산실적비교표!AQ137&lt;&gt;"",예산실적비교표!AQ137,0)</f>
        <v>0</v>
      </c>
      <c r="AV137" s="973">
        <f t="shared" si="33"/>
        <v>0</v>
      </c>
      <c r="AW137" s="974">
        <f>IF(AR137="",0,ROUND((AT137*$AT$7)*데이터입력!$AF$14+(AT137*$AU$7)*데이터입력!$AF$14+(AT137*$AU$7*$AV$7)*데이터입력!$AF$14+(AT137*$AW$7)*데이터입력!$AF$14+(AT137*$AX$7)*데이터입력!$AF$14,-1))</f>
        <v>0</v>
      </c>
      <c r="AX137" s="975">
        <f t="shared" si="34"/>
        <v>0</v>
      </c>
      <c r="AY137" s="976">
        <f>IFERROR(IF($AE$2=TRUE,IF(AR137+AS137=0,0,AR137+AS137),ROUND(IF(데이터입력!$AF$14=100%,ROUND(AR137*$AR$1,-3),ROUND(AR137*$AR$1,-3)-ROUND(((AR137*$AR$1)*$AT$4)*(데이터입력!$AF$14-100%)+((AR137*$AR$1)*$AU$4)*(데이터입력!$AF$14-100%)+((AR137*$AR$1)*$AU$4*$AV$4)*(데이터입력!$AF$14-100%)+((AR137*$AR$1)*$AW$4)*(데이터입력!$AF$14-100%),-1)),0)),0)</f>
        <v>0</v>
      </c>
      <c r="AZ137" s="977">
        <f>IFERROR(IF(AR137+AS137=0,0,IF(데이터입력!$AF$12=100%,(AT137),(AT137)+ROUND(AT137*(데이터입력!$AF$12-100%),-1))),0)</f>
        <v>0</v>
      </c>
      <c r="BA137" s="1097" t="str">
        <f>IFERROR(IF(AZ137=0,"",IF(AND(예산실적비교표!AP137&gt;0,예산실적비교표!AW137=0),"",ROUND(AZ137/12,0))),"")</f>
        <v/>
      </c>
      <c r="BB137" s="1096" t="str">
        <f>IF(BA137="","",IF(데이터입력!$O$70="",ROUND(AZ137/12,0),ROUND(데이터입력!$O$70/데이터입력!$Y$8/$BC$63,0)))</f>
        <v/>
      </c>
    </row>
    <row r="138" spans="1:54" ht="17.25" thickBot="1">
      <c r="A138" s="1412" t="s">
        <v>87</v>
      </c>
      <c r="B138" s="1413"/>
      <c r="C138" s="1413"/>
      <c r="D138" s="1413"/>
      <c r="E138" s="1413"/>
      <c r="F138" s="1414"/>
      <c r="G138" s="449">
        <f>SUM(G42:G137)</f>
        <v>1760402906</v>
      </c>
      <c r="H138" s="449">
        <f>SUM(H42:H137)</f>
        <v>1776688639</v>
      </c>
      <c r="I138" s="449">
        <f>SUM(I42:I137)</f>
        <v>59290000</v>
      </c>
      <c r="J138" s="449">
        <f>SUM(J42:J137)</f>
        <v>0</v>
      </c>
      <c r="K138" s="449"/>
      <c r="L138" s="449">
        <f>SUM(L42:L137)</f>
        <v>1538258400</v>
      </c>
      <c r="O138" s="482"/>
      <c r="P138" s="594">
        <f t="shared" si="36"/>
        <v>0</v>
      </c>
      <c r="Q138" s="487">
        <v>0</v>
      </c>
      <c r="R138" s="447" t="s">
        <v>45</v>
      </c>
      <c r="S138" s="448" t="s">
        <v>82</v>
      </c>
      <c r="T138" s="412">
        <f t="shared" ref="T138:T158" si="37">IF(O138="",P138,O138)</f>
        <v>0</v>
      </c>
      <c r="U138" s="498">
        <f t="shared" si="35"/>
        <v>12</v>
      </c>
      <c r="V138" s="360" t="s">
        <v>126</v>
      </c>
      <c r="AP138" s="1035" t="str">
        <f>IF(예산실적비교표!AL138&lt;&gt;"",예산실적비교표!AL138,"")</f>
        <v/>
      </c>
      <c r="AQ138" s="1036" t="str">
        <f>IF(예산실적비교표!AM138&lt;&gt;"",예산실적비교표!AM138,"")</f>
        <v/>
      </c>
      <c r="AR138" s="1037">
        <f>IF(AND(예산실적비교표!AN138&lt;&gt;"",예산실적비교표!AN138&gt;1),예산실적비교표!AN138,0)</f>
        <v>0</v>
      </c>
      <c r="AS138" s="1038">
        <f>IF(예산실적비교표!AO138&lt;&gt;"",예산실적비교표!AO138,0)</f>
        <v>0</v>
      </c>
      <c r="AT138" s="971">
        <f t="shared" si="32"/>
        <v>0</v>
      </c>
      <c r="AU138" s="1039">
        <f>IF(예산실적비교표!AQ138&lt;&gt;"",예산실적비교표!AQ138,0)</f>
        <v>0</v>
      </c>
      <c r="AV138" s="973">
        <f t="shared" si="33"/>
        <v>0</v>
      </c>
      <c r="AW138" s="974">
        <f>IF(AR138="",0,ROUND((AT138*$AT$7)*데이터입력!$AF$14+(AT138*$AU$7)*데이터입력!$AF$14+(AT138*$AU$7*$AV$7)*데이터입력!$AF$14+(AT138*$AW$7)*데이터입력!$AF$14+(AT138*$AX$7)*데이터입력!$AF$14,-1))</f>
        <v>0</v>
      </c>
      <c r="AX138" s="975">
        <f t="shared" si="34"/>
        <v>0</v>
      </c>
      <c r="AY138" s="976">
        <f>IFERROR(IF($AE$2=TRUE,IF(AR138+AS138=0,0,AR138+AS138),ROUND(IF(데이터입력!$AF$14=100%,ROUND(AR138*$AR$1,-3),ROUND(AR138*$AR$1,-3)-ROUND(((AR138*$AR$1)*$AT$4)*(데이터입력!$AF$14-100%)+((AR138*$AR$1)*$AU$4)*(데이터입력!$AF$14-100%)+((AR138*$AR$1)*$AU$4*$AV$4)*(데이터입력!$AF$14-100%)+((AR138*$AR$1)*$AW$4)*(데이터입력!$AF$14-100%),-1)),0)),0)</f>
        <v>0</v>
      </c>
      <c r="AZ138" s="977">
        <f>IFERROR(IF(AR138+AS138=0,0,IF(데이터입력!$AF$12=100%,(AT138),(AT138)+ROUND(AT138*(데이터입력!$AF$12-100%),-1))),0)</f>
        <v>0</v>
      </c>
      <c r="BA138" s="1097" t="str">
        <f>IFERROR(IF(AZ138=0,"",IF(AND(예산실적비교표!AP138&gt;0,예산실적비교표!AW138=0),"",ROUND(AZ138/12,0))),"")</f>
        <v/>
      </c>
      <c r="BB138" s="1096" t="str">
        <f>IF(BA138="","",IF(데이터입력!$O$70="",ROUND(AZ138/12,0),ROUND(데이터입력!$O$70/데이터입력!$Y$8/$BC$63,0)))</f>
        <v/>
      </c>
    </row>
    <row r="139" spans="1:54" ht="17.25" thickBot="1">
      <c r="A139" s="1415" t="s">
        <v>88</v>
      </c>
      <c r="B139" s="1416"/>
      <c r="C139" s="1416"/>
      <c r="D139" s="1416"/>
      <c r="E139" s="1416"/>
      <c r="F139" s="1417"/>
      <c r="G139" s="450">
        <f>G41-G138</f>
        <v>0</v>
      </c>
      <c r="H139" s="450">
        <f>H41-H138</f>
        <v>0</v>
      </c>
      <c r="I139" s="450">
        <f>I41-I138</f>
        <v>0</v>
      </c>
      <c r="J139" s="450">
        <f>J41-J138</f>
        <v>0</v>
      </c>
      <c r="K139" s="450"/>
      <c r="L139" s="450"/>
      <c r="O139" s="482"/>
      <c r="P139" s="594">
        <f t="shared" si="36"/>
        <v>0</v>
      </c>
      <c r="Q139" s="487">
        <v>0</v>
      </c>
      <c r="R139" s="447" t="s">
        <v>46</v>
      </c>
      <c r="S139" s="448" t="s">
        <v>82</v>
      </c>
      <c r="T139" s="412">
        <f>IF(O139="",P139,O139)</f>
        <v>0</v>
      </c>
      <c r="U139" s="498">
        <f t="shared" si="35"/>
        <v>12</v>
      </c>
      <c r="V139" s="360" t="s">
        <v>126</v>
      </c>
      <c r="AP139" s="1035" t="str">
        <f>IF(예산실적비교표!AL139&lt;&gt;"",예산실적비교표!AL139,"")</f>
        <v/>
      </c>
      <c r="AQ139" s="1036" t="str">
        <f>IF(예산실적비교표!AM139&lt;&gt;"",예산실적비교표!AM139,"")</f>
        <v/>
      </c>
      <c r="AR139" s="1037">
        <f>IF(AND(예산실적비교표!AN139&lt;&gt;"",예산실적비교표!AN139&gt;1),예산실적비교표!AN139,0)</f>
        <v>0</v>
      </c>
      <c r="AS139" s="1038">
        <f>IF(예산실적비교표!AO139&lt;&gt;"",예산실적비교표!AO139,0)</f>
        <v>0</v>
      </c>
      <c r="AT139" s="971">
        <f t="shared" si="32"/>
        <v>0</v>
      </c>
      <c r="AU139" s="1039">
        <f>IF(예산실적비교표!AQ139&lt;&gt;"",예산실적비교표!AQ139,0)</f>
        <v>0</v>
      </c>
      <c r="AV139" s="973">
        <f t="shared" si="33"/>
        <v>0</v>
      </c>
      <c r="AW139" s="974">
        <f>IF(AR139="",0,ROUND((AT139*$AT$7)*데이터입력!$AF$14+(AT139*$AU$7)*데이터입력!$AF$14+(AT139*$AU$7*$AV$7)*데이터입력!$AF$14+(AT139*$AW$7)*데이터입력!$AF$14+(AT139*$AX$7)*데이터입력!$AF$14,-1))</f>
        <v>0</v>
      </c>
      <c r="AX139" s="975">
        <f t="shared" si="34"/>
        <v>0</v>
      </c>
      <c r="AY139" s="976">
        <f>IFERROR(IF($AE$2=TRUE,IF(AR139+AS139=0,0,AR139+AS139),ROUND(IF(데이터입력!$AF$14=100%,ROUND(AR139*$AR$1,-3),ROUND(AR139*$AR$1,-3)-ROUND(((AR139*$AR$1)*$AT$4)*(데이터입력!$AF$14-100%)+((AR139*$AR$1)*$AU$4)*(데이터입력!$AF$14-100%)+((AR139*$AR$1)*$AU$4*$AV$4)*(데이터입력!$AF$14-100%)+((AR139*$AR$1)*$AW$4)*(데이터입력!$AF$14-100%),-1)),0)),0)</f>
        <v>0</v>
      </c>
      <c r="AZ139" s="977">
        <f>IFERROR(IF(AR139+AS139=0,0,IF(데이터입력!$AF$12=100%,(AT139),(AT139)+ROUND(AT139*(데이터입력!$AF$12-100%),-1))),0)</f>
        <v>0</v>
      </c>
      <c r="BA139" s="1097" t="str">
        <f>IFERROR(IF(AZ139=0,"",IF(AND(예산실적비교표!AP139&gt;0,예산실적비교표!AW139=0),"",ROUND(AZ139/12,0))),"")</f>
        <v/>
      </c>
      <c r="BB139" s="1096" t="str">
        <f>IF(BA139="","",IF(데이터입력!$O$70="",ROUND(AZ139/12,0),ROUND(데이터입력!$O$70/데이터입력!$Y$8/$BC$63,0)))</f>
        <v/>
      </c>
    </row>
    <row r="140" spans="1:54">
      <c r="H140" s="588"/>
      <c r="O140" s="482"/>
      <c r="P140" s="594">
        <f t="shared" si="36"/>
        <v>0</v>
      </c>
      <c r="Q140" s="487">
        <v>0</v>
      </c>
      <c r="R140" s="447" t="s">
        <v>47</v>
      </c>
      <c r="S140" s="448" t="s">
        <v>82</v>
      </c>
      <c r="T140" s="412">
        <f>IF(O140="",P140,O140)</f>
        <v>0</v>
      </c>
      <c r="U140" s="498">
        <f t="shared" si="35"/>
        <v>12</v>
      </c>
      <c r="V140" s="360" t="s">
        <v>126</v>
      </c>
      <c r="AP140" s="1035" t="str">
        <f>IF(예산실적비교표!AL140&lt;&gt;"",예산실적비교표!AL140,"")</f>
        <v/>
      </c>
      <c r="AQ140" s="1036" t="str">
        <f>IF(예산실적비교표!AM140&lt;&gt;"",예산실적비교표!AM140,"")</f>
        <v/>
      </c>
      <c r="AR140" s="1037">
        <f>IF(AND(예산실적비교표!AN140&lt;&gt;"",예산실적비교표!AN140&gt;1),예산실적비교표!AN140,0)</f>
        <v>0</v>
      </c>
      <c r="AS140" s="1038">
        <f>IF(예산실적비교표!AO140&lt;&gt;"",예산실적비교표!AO140,0)</f>
        <v>0</v>
      </c>
      <c r="AT140" s="971">
        <f t="shared" si="32"/>
        <v>0</v>
      </c>
      <c r="AU140" s="1039">
        <f>IF(예산실적비교표!AQ140&lt;&gt;"",예산실적비교표!AQ140,0)</f>
        <v>0</v>
      </c>
      <c r="AV140" s="973">
        <f t="shared" si="33"/>
        <v>0</v>
      </c>
      <c r="AW140" s="974">
        <f>IF(AR140="",0,ROUND((AT140*$AT$7)*데이터입력!$AF$14+(AT140*$AU$7)*데이터입력!$AF$14+(AT140*$AU$7*$AV$7)*데이터입력!$AF$14+(AT140*$AW$7)*데이터입력!$AF$14+(AT140*$AX$7)*데이터입력!$AF$14,-1))</f>
        <v>0</v>
      </c>
      <c r="AX140" s="975">
        <f t="shared" si="34"/>
        <v>0</v>
      </c>
      <c r="AY140" s="976">
        <f>IFERROR(IF($AE$2=TRUE,IF(AR140+AS140=0,0,AR140+AS140),ROUND(IF(데이터입력!$AF$14=100%,ROUND(AR140*$AR$1,-3),ROUND(AR140*$AR$1,-3)-ROUND(((AR140*$AR$1)*$AT$4)*(데이터입력!$AF$14-100%)+((AR140*$AR$1)*$AU$4)*(데이터입력!$AF$14-100%)+((AR140*$AR$1)*$AU$4*$AV$4)*(데이터입력!$AF$14-100%)+((AR140*$AR$1)*$AW$4)*(데이터입력!$AF$14-100%),-1)),0)),0)</f>
        <v>0</v>
      </c>
      <c r="AZ140" s="977">
        <f>IFERROR(IF(AR140+AS140=0,0,IF(데이터입력!$AF$12=100%,(AT140),(AT140)+ROUND(AT140*(데이터입력!$AF$12-100%),-1))),0)</f>
        <v>0</v>
      </c>
      <c r="BA140" s="1097" t="str">
        <f>IFERROR(IF(AZ140=0,"",IF(AND(예산실적비교표!AP140&gt;0,예산실적비교표!AW140=0),"",ROUND(AZ140/12,0))),"")</f>
        <v/>
      </c>
      <c r="BB140" s="1096" t="str">
        <f>IF(BA140="","",IF(데이터입력!$O$70="",ROUND(AZ140/12,0),ROUND(데이터입력!$O$70/데이터입력!$Y$8/$BC$63,0)))</f>
        <v/>
      </c>
    </row>
    <row r="141" spans="1:54">
      <c r="O141" s="482"/>
      <c r="P141" s="594">
        <f t="shared" si="36"/>
        <v>0</v>
      </c>
      <c r="Q141" s="487">
        <v>0</v>
      </c>
      <c r="R141" s="447" t="s">
        <v>48</v>
      </c>
      <c r="S141" s="448" t="s">
        <v>82</v>
      </c>
      <c r="T141" s="412">
        <f>IF(O141="",P141,O141)</f>
        <v>0</v>
      </c>
      <c r="U141" s="498">
        <f t="shared" si="35"/>
        <v>12</v>
      </c>
      <c r="V141" s="360" t="s">
        <v>126</v>
      </c>
      <c r="AP141" s="1035" t="str">
        <f>IF(예산실적비교표!AL141&lt;&gt;"",예산실적비교표!AL141,"")</f>
        <v/>
      </c>
      <c r="AQ141" s="1036" t="str">
        <f>IF(예산실적비교표!AM141&lt;&gt;"",예산실적비교표!AM141,"")</f>
        <v/>
      </c>
      <c r="AR141" s="1037">
        <f>IF(AND(예산실적비교표!AN141&lt;&gt;"",예산실적비교표!AN141&gt;1),예산실적비교표!AN141,0)</f>
        <v>0</v>
      </c>
      <c r="AS141" s="1038">
        <f>IF(예산실적비교표!AO141&lt;&gt;"",예산실적비교표!AO141,0)</f>
        <v>0</v>
      </c>
      <c r="AT141" s="971">
        <f t="shared" si="32"/>
        <v>0</v>
      </c>
      <c r="AU141" s="1039">
        <f>IF(예산실적비교표!AQ141&lt;&gt;"",예산실적비교표!AQ141,0)</f>
        <v>0</v>
      </c>
      <c r="AV141" s="973">
        <f t="shared" si="33"/>
        <v>0</v>
      </c>
      <c r="AW141" s="974">
        <f>IF(AR141="",0,ROUND((AT141*$AT$7)*데이터입력!$AF$14+(AT141*$AU$7)*데이터입력!$AF$14+(AT141*$AU$7*$AV$7)*데이터입력!$AF$14+(AT141*$AW$7)*데이터입력!$AF$14+(AT141*$AX$7)*데이터입력!$AF$14,-1))</f>
        <v>0</v>
      </c>
      <c r="AX141" s="975">
        <f t="shared" si="34"/>
        <v>0</v>
      </c>
      <c r="AY141" s="976">
        <f>IFERROR(IF($AE$2=TRUE,IF(AR141+AS141=0,0,AR141+AS141),ROUND(IF(데이터입력!$AF$14=100%,ROUND(AR141*$AR$1,-3),ROUND(AR141*$AR$1,-3)-ROUND(((AR141*$AR$1)*$AT$4)*(데이터입력!$AF$14-100%)+((AR141*$AR$1)*$AU$4)*(데이터입력!$AF$14-100%)+((AR141*$AR$1)*$AU$4*$AV$4)*(데이터입력!$AF$14-100%)+((AR141*$AR$1)*$AW$4)*(데이터입력!$AF$14-100%),-1)),0)),0)</f>
        <v>0</v>
      </c>
      <c r="AZ141" s="977">
        <f>IFERROR(IF(AR141+AS141=0,0,IF(데이터입력!$AF$12=100%,(AT141),(AT141)+ROUND(AT141*(데이터입력!$AF$12-100%),-1))),0)</f>
        <v>0</v>
      </c>
      <c r="BA141" s="1097" t="str">
        <f>IFERROR(IF(AZ141=0,"",IF(AND(예산실적비교표!AP141&gt;0,예산실적비교표!AW141=0),"",ROUND(AZ141/12,0))),"")</f>
        <v/>
      </c>
      <c r="BB141" s="1096" t="str">
        <f>IF(BA141="","",IF(데이터입력!$O$70="",ROUND(AZ141/12,0),ROUND(데이터입력!$O$70/데이터입력!$Y$8/$BC$63,0)))</f>
        <v/>
      </c>
    </row>
    <row r="142" spans="1:54">
      <c r="O142" s="482"/>
      <c r="P142" s="594">
        <f t="shared" si="36"/>
        <v>0</v>
      </c>
      <c r="Q142" s="487">
        <v>0</v>
      </c>
      <c r="R142" s="447" t="s">
        <v>49</v>
      </c>
      <c r="S142" s="448" t="s">
        <v>82</v>
      </c>
      <c r="T142" s="412">
        <f>IF(O142="",P142,O142)</f>
        <v>0</v>
      </c>
      <c r="U142" s="498">
        <f t="shared" si="35"/>
        <v>12</v>
      </c>
      <c r="V142" s="360" t="s">
        <v>126</v>
      </c>
      <c r="AP142" s="1035" t="str">
        <f>IF(예산실적비교표!AL142&lt;&gt;"",예산실적비교표!AL142,"")</f>
        <v/>
      </c>
      <c r="AQ142" s="1036" t="str">
        <f>IF(예산실적비교표!AM142&lt;&gt;"",예산실적비교표!AM142,"")</f>
        <v/>
      </c>
      <c r="AR142" s="1037">
        <f>IF(AND(예산실적비교표!AN142&lt;&gt;"",예산실적비교표!AN142&gt;1),예산실적비교표!AN142,0)</f>
        <v>0</v>
      </c>
      <c r="AS142" s="1038">
        <f>IF(예산실적비교표!AO142&lt;&gt;"",예산실적비교표!AO142,0)</f>
        <v>0</v>
      </c>
      <c r="AT142" s="971">
        <f t="shared" si="32"/>
        <v>0</v>
      </c>
      <c r="AU142" s="1039">
        <f>IF(예산실적비교표!AQ142&lt;&gt;"",예산실적비교표!AQ142,0)</f>
        <v>0</v>
      </c>
      <c r="AV142" s="973">
        <f t="shared" si="33"/>
        <v>0</v>
      </c>
      <c r="AW142" s="974">
        <f>IF(AR142="",0,ROUND((AT142*$AT$7)*데이터입력!$AF$14+(AT142*$AU$7)*데이터입력!$AF$14+(AT142*$AU$7*$AV$7)*데이터입력!$AF$14+(AT142*$AW$7)*데이터입력!$AF$14+(AT142*$AX$7)*데이터입력!$AF$14,-1))</f>
        <v>0</v>
      </c>
      <c r="AX142" s="975">
        <f t="shared" si="34"/>
        <v>0</v>
      </c>
      <c r="AY142" s="976">
        <f>IFERROR(IF($AE$2=TRUE,IF(AR142+AS142=0,0,AR142+AS142),ROUND(IF(데이터입력!$AF$14=100%,ROUND(AR142*$AR$1,-3),ROUND(AR142*$AR$1,-3)-ROUND(((AR142*$AR$1)*$AT$4)*(데이터입력!$AF$14-100%)+((AR142*$AR$1)*$AU$4)*(데이터입력!$AF$14-100%)+((AR142*$AR$1)*$AU$4*$AV$4)*(데이터입력!$AF$14-100%)+((AR142*$AR$1)*$AW$4)*(데이터입력!$AF$14-100%),-1)),0)),0)</f>
        <v>0</v>
      </c>
      <c r="AZ142" s="977">
        <f>IFERROR(IF(AR142+AS142=0,0,IF(데이터입력!$AF$12=100%,(AT142),(AT142)+ROUND(AT142*(데이터입력!$AF$12-100%),-1))),0)</f>
        <v>0</v>
      </c>
      <c r="BA142" s="1097" t="str">
        <f>IFERROR(IF(AZ142=0,"",IF(AND(예산실적비교표!AP142&gt;0,예산실적비교표!AW142=0),"",ROUND(AZ142/12,0))),"")</f>
        <v/>
      </c>
      <c r="BB142" s="1096" t="str">
        <f>IF(BA142="","",IF(데이터입력!$O$70="",ROUND(AZ142/12,0),ROUND(데이터입력!$O$70/데이터입력!$Y$8/$BC$63,0)))</f>
        <v/>
      </c>
    </row>
    <row r="143" spans="1:54">
      <c r="O143" s="482"/>
      <c r="P143" s="594">
        <f t="shared" ref="P143:P153" si="38">IFERROR(IF(VLOOKUP(R143,$B$111:$L$137,11,FALSE)&gt;VLOOKUP(R143,$B$111:$L$137,6,FALSE),VLOOKUP(R143,$B$111:$L$137,11,FALSE),VLOOKUP(R143,$B$111:$L$137,6,FALSE)),0)</f>
        <v>0</v>
      </c>
      <c r="Q143" s="487">
        <v>0</v>
      </c>
      <c r="R143" s="447" t="s">
        <v>50</v>
      </c>
      <c r="S143" s="448" t="s">
        <v>82</v>
      </c>
      <c r="T143" s="412">
        <f t="shared" si="37"/>
        <v>0</v>
      </c>
      <c r="U143" s="498">
        <f t="shared" si="35"/>
        <v>12</v>
      </c>
      <c r="V143" s="360" t="s">
        <v>143</v>
      </c>
      <c r="AP143" s="1035" t="str">
        <f>IF(예산실적비교표!AL143&lt;&gt;"",예산실적비교표!AL143,"")</f>
        <v/>
      </c>
      <c r="AQ143" s="1036" t="str">
        <f>IF(예산실적비교표!AM143&lt;&gt;"",예산실적비교표!AM143,"")</f>
        <v/>
      </c>
      <c r="AR143" s="1037">
        <f>IF(AND(예산실적비교표!AN143&lt;&gt;"",예산실적비교표!AN143&gt;1),예산실적비교표!AN143,0)</f>
        <v>0</v>
      </c>
      <c r="AS143" s="1038">
        <f>IF(예산실적비교표!AO143&lt;&gt;"",예산실적비교표!AO143,0)</f>
        <v>0</v>
      </c>
      <c r="AT143" s="971">
        <f t="shared" si="32"/>
        <v>0</v>
      </c>
      <c r="AU143" s="1039">
        <f>IF(예산실적비교표!AQ143&lt;&gt;"",예산실적비교표!AQ143,0)</f>
        <v>0</v>
      </c>
      <c r="AV143" s="973">
        <f t="shared" si="33"/>
        <v>0</v>
      </c>
      <c r="AW143" s="974">
        <f>IF(AR143="",0,ROUND((AT143*$AT$7)*데이터입력!$AF$14+(AT143*$AU$7)*데이터입력!$AF$14+(AT143*$AU$7*$AV$7)*데이터입력!$AF$14+(AT143*$AW$7)*데이터입력!$AF$14+(AT143*$AX$7)*데이터입력!$AF$14,-1))</f>
        <v>0</v>
      </c>
      <c r="AX143" s="975">
        <f t="shared" si="34"/>
        <v>0</v>
      </c>
      <c r="AY143" s="976">
        <f>IFERROR(IF($AE$2=TRUE,IF(AR143+AS143=0,0,AR143+AS143),ROUND(IF(데이터입력!$AF$14=100%,ROUND(AR143*$AR$1,-3),ROUND(AR143*$AR$1,-3)-ROUND(((AR143*$AR$1)*$AT$4)*(데이터입력!$AF$14-100%)+((AR143*$AR$1)*$AU$4)*(데이터입력!$AF$14-100%)+((AR143*$AR$1)*$AU$4*$AV$4)*(데이터입력!$AF$14-100%)+((AR143*$AR$1)*$AW$4)*(데이터입력!$AF$14-100%),-1)),0)),0)</f>
        <v>0</v>
      </c>
      <c r="AZ143" s="977">
        <f>IFERROR(IF(AR143+AS143=0,0,IF(데이터입력!$AF$12=100%,(AT143),(AT143)+ROUND(AT143*(데이터입력!$AF$12-100%),-1))),0)</f>
        <v>0</v>
      </c>
      <c r="BA143" s="1097" t="str">
        <f>IFERROR(IF(AZ143=0,"",IF(AND(예산실적비교표!AP143&gt;0,예산실적비교표!AW143=0),"",ROUND(AZ143/12,0))),"")</f>
        <v/>
      </c>
      <c r="BB143" s="1096" t="str">
        <f>IF(BA143="","",IF(데이터입력!$O$70="",ROUND(AZ143/12,0),ROUND(데이터입력!$O$70/데이터입력!$Y$8/$BC$63,0)))</f>
        <v/>
      </c>
    </row>
    <row r="144" spans="1:54">
      <c r="O144" s="482"/>
      <c r="P144" s="594">
        <f t="shared" si="38"/>
        <v>0</v>
      </c>
      <c r="Q144" s="487">
        <v>0</v>
      </c>
      <c r="R144" s="447" t="s">
        <v>52</v>
      </c>
      <c r="S144" s="448" t="s">
        <v>82</v>
      </c>
      <c r="T144" s="412">
        <f t="shared" si="37"/>
        <v>0</v>
      </c>
      <c r="U144" s="498">
        <f t="shared" si="35"/>
        <v>12</v>
      </c>
      <c r="V144" s="360" t="s">
        <v>143</v>
      </c>
      <c r="AP144" s="1035" t="str">
        <f>IF(예산실적비교표!AL144&lt;&gt;"",예산실적비교표!AL144,"")</f>
        <v/>
      </c>
      <c r="AQ144" s="1036" t="str">
        <f>IF(예산실적비교표!AM144&lt;&gt;"",예산실적비교표!AM144,"")</f>
        <v/>
      </c>
      <c r="AR144" s="1037">
        <f>IF(AND(예산실적비교표!AN144&lt;&gt;"",예산실적비교표!AN144&gt;1),예산실적비교표!AN144,0)</f>
        <v>0</v>
      </c>
      <c r="AS144" s="1038">
        <f>IF(예산실적비교표!AO144&lt;&gt;"",예산실적비교표!AO144,0)</f>
        <v>0</v>
      </c>
      <c r="AT144" s="971">
        <f t="shared" si="32"/>
        <v>0</v>
      </c>
      <c r="AU144" s="1039">
        <f>IF(예산실적비교표!AQ144&lt;&gt;"",예산실적비교표!AQ144,0)</f>
        <v>0</v>
      </c>
      <c r="AV144" s="973">
        <f t="shared" si="33"/>
        <v>0</v>
      </c>
      <c r="AW144" s="974">
        <f>IF(AR144="",0,ROUND((AT144*$AT$7)*데이터입력!$AF$14+(AT144*$AU$7)*데이터입력!$AF$14+(AT144*$AU$7*$AV$7)*데이터입력!$AF$14+(AT144*$AW$7)*데이터입력!$AF$14+(AT144*$AX$7)*데이터입력!$AF$14,-1))</f>
        <v>0</v>
      </c>
      <c r="AX144" s="975">
        <f t="shared" si="34"/>
        <v>0</v>
      </c>
      <c r="AY144" s="976">
        <f>IFERROR(IF($AE$2=TRUE,IF(AR144+AS144=0,0,AR144+AS144),ROUND(IF(데이터입력!$AF$14=100%,ROUND(AR144*$AR$1,-3),ROUND(AR144*$AR$1,-3)-ROUND(((AR144*$AR$1)*$AT$4)*(데이터입력!$AF$14-100%)+((AR144*$AR$1)*$AU$4)*(데이터입력!$AF$14-100%)+((AR144*$AR$1)*$AU$4*$AV$4)*(데이터입력!$AF$14-100%)+((AR144*$AR$1)*$AW$4)*(데이터입력!$AF$14-100%),-1)),0)),0)</f>
        <v>0</v>
      </c>
      <c r="AZ144" s="977">
        <f>IFERROR(IF(AR144+AS144=0,0,IF(데이터입력!$AF$12=100%,(AT144),(AT144)+ROUND(AT144*(데이터입력!$AF$12-100%),-1))),0)</f>
        <v>0</v>
      </c>
      <c r="BA144" s="1097" t="str">
        <f>IFERROR(IF(AZ144=0,"",IF(AND(예산실적비교표!AP144&gt;0,예산실적비교표!AW144=0),"",ROUND(AZ144/12,0))),"")</f>
        <v/>
      </c>
      <c r="BB144" s="1096" t="str">
        <f>IF(BA144="","",IF(데이터입력!$O$70="",ROUND(AZ144/12,0),ROUND(데이터입력!$O$70/데이터입력!$Y$8/$BC$63,0)))</f>
        <v/>
      </c>
    </row>
    <row r="145" spans="15:54">
      <c r="O145" s="482"/>
      <c r="P145" s="594">
        <f t="shared" si="38"/>
        <v>0</v>
      </c>
      <c r="Q145" s="487">
        <v>0</v>
      </c>
      <c r="R145" s="447" t="s">
        <v>53</v>
      </c>
      <c r="S145" s="448" t="s">
        <v>82</v>
      </c>
      <c r="T145" s="412">
        <f t="shared" si="37"/>
        <v>0</v>
      </c>
      <c r="U145" s="498">
        <f t="shared" si="35"/>
        <v>12</v>
      </c>
      <c r="V145" s="360" t="s">
        <v>126</v>
      </c>
      <c r="AP145" s="1035" t="str">
        <f>IF(예산실적비교표!AL145&lt;&gt;"",예산실적비교표!AL145,"")</f>
        <v/>
      </c>
      <c r="AQ145" s="1036" t="str">
        <f>IF(예산실적비교표!AM145&lt;&gt;"",예산실적비교표!AM145,"")</f>
        <v/>
      </c>
      <c r="AR145" s="1037">
        <f>IF(AND(예산실적비교표!AN145&lt;&gt;"",예산실적비교표!AN145&gt;1),예산실적비교표!AN145,0)</f>
        <v>0</v>
      </c>
      <c r="AS145" s="1038">
        <f>IF(예산실적비교표!AO145&lt;&gt;"",예산실적비교표!AO145,0)</f>
        <v>0</v>
      </c>
      <c r="AT145" s="971">
        <f t="shared" si="32"/>
        <v>0</v>
      </c>
      <c r="AU145" s="1039">
        <f>IF(예산실적비교표!AQ145&lt;&gt;"",예산실적비교표!AQ145,0)</f>
        <v>0</v>
      </c>
      <c r="AV145" s="973">
        <f t="shared" si="33"/>
        <v>0</v>
      </c>
      <c r="AW145" s="974">
        <f>IF(AR145="",0,ROUND((AT145*$AT$7)*데이터입력!$AF$14+(AT145*$AU$7)*데이터입력!$AF$14+(AT145*$AU$7*$AV$7)*데이터입력!$AF$14+(AT145*$AW$7)*데이터입력!$AF$14+(AT145*$AX$7)*데이터입력!$AF$14,-1))</f>
        <v>0</v>
      </c>
      <c r="AX145" s="975">
        <f t="shared" si="34"/>
        <v>0</v>
      </c>
      <c r="AY145" s="976">
        <f>IFERROR(IF($AE$2=TRUE,IF(AR145+AS145=0,0,AR145+AS145),ROUND(IF(데이터입력!$AF$14=100%,ROUND(AR145*$AR$1,-3),ROUND(AR145*$AR$1,-3)-ROUND(((AR145*$AR$1)*$AT$4)*(데이터입력!$AF$14-100%)+((AR145*$AR$1)*$AU$4)*(데이터입력!$AF$14-100%)+((AR145*$AR$1)*$AU$4*$AV$4)*(데이터입력!$AF$14-100%)+((AR145*$AR$1)*$AW$4)*(데이터입력!$AF$14-100%),-1)),0)),0)</f>
        <v>0</v>
      </c>
      <c r="AZ145" s="977">
        <f>IFERROR(IF(AR145+AS145=0,0,IF(데이터입력!$AF$12=100%,(AT145),(AT145)+ROUND(AT145*(데이터입력!$AF$12-100%),-1))),0)</f>
        <v>0</v>
      </c>
      <c r="BA145" s="1097" t="str">
        <f>IFERROR(IF(AZ145=0,"",IF(AND(예산실적비교표!AP145&gt;0,예산실적비교표!AW145=0),"",ROUND(AZ145/12,0))),"")</f>
        <v/>
      </c>
      <c r="BB145" s="1096" t="str">
        <f>IF(BA145="","",IF(데이터입력!$O$70="",ROUND(AZ145/12,0),ROUND(데이터입력!$O$70/데이터입력!$Y$8/$BC$63,0)))</f>
        <v/>
      </c>
    </row>
    <row r="146" spans="15:54">
      <c r="O146" s="482"/>
      <c r="P146" s="594">
        <f t="shared" si="38"/>
        <v>0</v>
      </c>
      <c r="Q146" s="487">
        <v>0</v>
      </c>
      <c r="R146" s="447" t="s">
        <v>54</v>
      </c>
      <c r="S146" s="448" t="s">
        <v>82</v>
      </c>
      <c r="T146" s="412">
        <f t="shared" si="37"/>
        <v>0</v>
      </c>
      <c r="U146" s="498">
        <f t="shared" si="35"/>
        <v>12</v>
      </c>
      <c r="V146" s="360" t="s">
        <v>126</v>
      </c>
      <c r="AP146" s="1035" t="str">
        <f>IF(예산실적비교표!AL146&lt;&gt;"",예산실적비교표!AL146,"")</f>
        <v/>
      </c>
      <c r="AQ146" s="1036" t="str">
        <f>IF(예산실적비교표!AM146&lt;&gt;"",예산실적비교표!AM146,"")</f>
        <v/>
      </c>
      <c r="AR146" s="1037">
        <f>IF(AND(예산실적비교표!AN146&lt;&gt;"",예산실적비교표!AN146&gt;1),예산실적비교표!AN146,0)</f>
        <v>0</v>
      </c>
      <c r="AS146" s="1038">
        <f>IF(예산실적비교표!AO146&lt;&gt;"",예산실적비교표!AO146,0)</f>
        <v>0</v>
      </c>
      <c r="AT146" s="971">
        <f t="shared" si="32"/>
        <v>0</v>
      </c>
      <c r="AU146" s="1039">
        <f>IF(예산실적비교표!AQ146&lt;&gt;"",예산실적비교표!AQ146,0)</f>
        <v>0</v>
      </c>
      <c r="AV146" s="973">
        <f t="shared" si="33"/>
        <v>0</v>
      </c>
      <c r="AW146" s="974">
        <f>IF(AR146="",0,ROUND((AT146*$AT$7)*데이터입력!$AF$14+(AT146*$AU$7)*데이터입력!$AF$14+(AT146*$AU$7*$AV$7)*데이터입력!$AF$14+(AT146*$AW$7)*데이터입력!$AF$14+(AT146*$AX$7)*데이터입력!$AF$14,-1))</f>
        <v>0</v>
      </c>
      <c r="AX146" s="975">
        <f t="shared" si="34"/>
        <v>0</v>
      </c>
      <c r="AY146" s="976">
        <f>IFERROR(IF($AE$2=TRUE,IF(AR146+AS146=0,0,AR146+AS146),ROUND(IF(데이터입력!$AF$14=100%,ROUND(AR146*$AR$1,-3),ROUND(AR146*$AR$1,-3)-ROUND(((AR146*$AR$1)*$AT$4)*(데이터입력!$AF$14-100%)+((AR146*$AR$1)*$AU$4)*(데이터입력!$AF$14-100%)+((AR146*$AR$1)*$AU$4*$AV$4)*(데이터입력!$AF$14-100%)+((AR146*$AR$1)*$AW$4)*(데이터입력!$AF$14-100%),-1)),0)),0)</f>
        <v>0</v>
      </c>
      <c r="AZ146" s="977">
        <f>IFERROR(IF(AR146+AS146=0,0,IF(데이터입력!$AF$12=100%,(AT146),(AT146)+ROUND(AT146*(데이터입력!$AF$12-100%),-1))),0)</f>
        <v>0</v>
      </c>
      <c r="BA146" s="1097" t="str">
        <f>IFERROR(IF(AZ146=0,"",IF(AND(예산실적비교표!AP146&gt;0,예산실적비교표!AW146=0),"",ROUND(AZ146/12,0))),"")</f>
        <v/>
      </c>
      <c r="BB146" s="1096" t="str">
        <f>IF(BA146="","",IF(데이터입력!$O$70="",ROUND(AZ146/12,0),ROUND(데이터입력!$O$70/데이터입력!$Y$8/$BC$63,0)))</f>
        <v/>
      </c>
    </row>
    <row r="147" spans="15:54">
      <c r="O147" s="482"/>
      <c r="P147" s="594">
        <f t="shared" si="38"/>
        <v>0</v>
      </c>
      <c r="Q147" s="487">
        <v>0</v>
      </c>
      <c r="R147" s="447" t="str">
        <f>$R$79</f>
        <v>공공요금 및 각종 세금공과금</v>
      </c>
      <c r="S147" s="448" t="s">
        <v>82</v>
      </c>
      <c r="T147" s="412">
        <f t="shared" si="37"/>
        <v>0</v>
      </c>
      <c r="U147" s="498">
        <f t="shared" si="35"/>
        <v>12</v>
      </c>
      <c r="V147" s="360" t="s">
        <v>126</v>
      </c>
      <c r="AP147" s="1035" t="str">
        <f>IF(예산실적비교표!AL147&lt;&gt;"",예산실적비교표!AL147,"")</f>
        <v/>
      </c>
      <c r="AQ147" s="1036" t="str">
        <f>IF(예산실적비교표!AM147&lt;&gt;"",예산실적비교표!AM147,"")</f>
        <v/>
      </c>
      <c r="AR147" s="1037">
        <f>IF(AND(예산실적비교표!AN147&lt;&gt;"",예산실적비교표!AN147&gt;1),예산실적비교표!AN147,0)</f>
        <v>0</v>
      </c>
      <c r="AS147" s="1038">
        <f>IF(예산실적비교표!AO147&lt;&gt;"",예산실적비교표!AO147,0)</f>
        <v>0</v>
      </c>
      <c r="AT147" s="971">
        <f t="shared" si="32"/>
        <v>0</v>
      </c>
      <c r="AU147" s="1039">
        <f>IF(예산실적비교표!AQ147&lt;&gt;"",예산실적비교표!AQ147,0)</f>
        <v>0</v>
      </c>
      <c r="AV147" s="973">
        <f t="shared" si="33"/>
        <v>0</v>
      </c>
      <c r="AW147" s="974">
        <f>IF(AR147="",0,ROUND((AT147*$AT$7)*데이터입력!$AF$14+(AT147*$AU$7)*데이터입력!$AF$14+(AT147*$AU$7*$AV$7)*데이터입력!$AF$14+(AT147*$AW$7)*데이터입력!$AF$14+(AT147*$AX$7)*데이터입력!$AF$14,-1))</f>
        <v>0</v>
      </c>
      <c r="AX147" s="975">
        <f t="shared" si="34"/>
        <v>0</v>
      </c>
      <c r="AY147" s="976">
        <f>IFERROR(IF($AE$2=TRUE,IF(AR147+AS147=0,0,AR147+AS147),ROUND(IF(데이터입력!$AF$14=100%,ROUND(AR147*$AR$1,-3),ROUND(AR147*$AR$1,-3)-ROUND(((AR147*$AR$1)*$AT$4)*(데이터입력!$AF$14-100%)+((AR147*$AR$1)*$AU$4)*(데이터입력!$AF$14-100%)+((AR147*$AR$1)*$AU$4*$AV$4)*(데이터입력!$AF$14-100%)+((AR147*$AR$1)*$AW$4)*(데이터입력!$AF$14-100%),-1)),0)),0)</f>
        <v>0</v>
      </c>
      <c r="AZ147" s="977">
        <f>IFERROR(IF(AR147+AS147=0,0,IF(데이터입력!$AF$12=100%,(AT147),(AT147)+ROUND(AT147*(데이터입력!$AF$12-100%),-1))),0)</f>
        <v>0</v>
      </c>
      <c r="BA147" s="1097" t="str">
        <f>IFERROR(IF(AZ147=0,"",IF(AND(예산실적비교표!AP147&gt;0,예산실적비교표!AW147=0),"",ROUND(AZ147/12,0))),"")</f>
        <v/>
      </c>
      <c r="BB147" s="1096" t="str">
        <f>IF(BA147="","",IF(데이터입력!$O$70="",ROUND(AZ147/12,0),ROUND(데이터입력!$O$70/데이터입력!$Y$8/$BC$63,0)))</f>
        <v/>
      </c>
    </row>
    <row r="148" spans="15:54">
      <c r="O148" s="482"/>
      <c r="P148" s="594">
        <f t="shared" si="38"/>
        <v>0</v>
      </c>
      <c r="Q148" s="487">
        <v>0</v>
      </c>
      <c r="R148" s="447" t="s">
        <v>55</v>
      </c>
      <c r="S148" s="448" t="s">
        <v>82</v>
      </c>
      <c r="T148" s="412">
        <f t="shared" si="37"/>
        <v>0</v>
      </c>
      <c r="U148" s="498">
        <f t="shared" si="35"/>
        <v>12</v>
      </c>
      <c r="V148" s="360" t="s">
        <v>126</v>
      </c>
      <c r="AP148" s="1035" t="str">
        <f>IF(예산실적비교표!AL148&lt;&gt;"",예산실적비교표!AL148,"")</f>
        <v/>
      </c>
      <c r="AQ148" s="1036" t="str">
        <f>IF(예산실적비교표!AM148&lt;&gt;"",예산실적비교표!AM148,"")</f>
        <v/>
      </c>
      <c r="AR148" s="1037">
        <f>IF(AND(예산실적비교표!AN148&lt;&gt;"",예산실적비교표!AN148&gt;1),예산실적비교표!AN148,0)</f>
        <v>0</v>
      </c>
      <c r="AS148" s="1038">
        <f>IF(예산실적비교표!AO148&lt;&gt;"",예산실적비교표!AO148,0)</f>
        <v>0</v>
      </c>
      <c r="AT148" s="971">
        <f t="shared" si="32"/>
        <v>0</v>
      </c>
      <c r="AU148" s="1039">
        <f>IF(예산실적비교표!AQ148&lt;&gt;"",예산실적비교표!AQ148,0)</f>
        <v>0</v>
      </c>
      <c r="AV148" s="973">
        <f t="shared" si="33"/>
        <v>0</v>
      </c>
      <c r="AW148" s="974">
        <f>IF(AR148="",0,ROUND((AT148*$AT$7)*데이터입력!$AF$14+(AT148*$AU$7)*데이터입력!$AF$14+(AT148*$AU$7*$AV$7)*데이터입력!$AF$14+(AT148*$AW$7)*데이터입력!$AF$14+(AT148*$AX$7)*데이터입력!$AF$14,-1))</f>
        <v>0</v>
      </c>
      <c r="AX148" s="975">
        <f t="shared" si="34"/>
        <v>0</v>
      </c>
      <c r="AY148" s="976">
        <f>IFERROR(IF($AE$2=TRUE,IF(AR148+AS148=0,0,AR148+AS148),ROUND(IF(데이터입력!$AF$14=100%,ROUND(AR148*$AR$1,-3),ROUND(AR148*$AR$1,-3)-ROUND(((AR148*$AR$1)*$AT$4)*(데이터입력!$AF$14-100%)+((AR148*$AR$1)*$AU$4)*(데이터입력!$AF$14-100%)+((AR148*$AR$1)*$AU$4*$AV$4)*(데이터입력!$AF$14-100%)+((AR148*$AR$1)*$AW$4)*(데이터입력!$AF$14-100%),-1)),0)),0)</f>
        <v>0</v>
      </c>
      <c r="AZ148" s="977">
        <f>IFERROR(IF(AR148+AS148=0,0,IF(데이터입력!$AF$12=100%,(AT148),(AT148)+ROUND(AT148*(데이터입력!$AF$12-100%),-1))),0)</f>
        <v>0</v>
      </c>
      <c r="BA148" s="1097" t="str">
        <f>IFERROR(IF(AZ148=0,"",IF(AND(예산실적비교표!AP148&gt;0,예산실적비교표!AW148=0),"",ROUND(AZ148/12,0))),"")</f>
        <v/>
      </c>
      <c r="BB148" s="1096" t="str">
        <f>IF(BA148="","",IF(데이터입력!$O$70="",ROUND(AZ148/12,0),ROUND(데이터입력!$O$70/데이터입력!$Y$8/$BC$63,0)))</f>
        <v/>
      </c>
    </row>
    <row r="149" spans="15:54">
      <c r="O149" s="482"/>
      <c r="P149" s="790">
        <f t="shared" si="38"/>
        <v>0</v>
      </c>
      <c r="Q149" s="487">
        <v>0</v>
      </c>
      <c r="R149" s="447" t="s">
        <v>56</v>
      </c>
      <c r="S149" s="448" t="s">
        <v>82</v>
      </c>
      <c r="T149" s="412">
        <f t="shared" si="37"/>
        <v>0</v>
      </c>
      <c r="U149" s="498">
        <f t="shared" si="35"/>
        <v>12</v>
      </c>
      <c r="V149" s="360" t="s">
        <v>126</v>
      </c>
      <c r="AP149" s="1035" t="str">
        <f>IF(예산실적비교표!AL149&lt;&gt;"",예산실적비교표!AL149,"")</f>
        <v/>
      </c>
      <c r="AQ149" s="1036" t="str">
        <f>IF(예산실적비교표!AM149&lt;&gt;"",예산실적비교표!AM149,"")</f>
        <v/>
      </c>
      <c r="AR149" s="1037">
        <f>IF(AND(예산실적비교표!AN149&lt;&gt;"",예산실적비교표!AN149&gt;1),예산실적비교표!AN149,0)</f>
        <v>0</v>
      </c>
      <c r="AS149" s="1038">
        <f>IF(예산실적비교표!AO149&lt;&gt;"",예산실적비교표!AO149,0)</f>
        <v>0</v>
      </c>
      <c r="AT149" s="971">
        <f t="shared" si="32"/>
        <v>0</v>
      </c>
      <c r="AU149" s="1039">
        <f>IF(예산실적비교표!AQ149&lt;&gt;"",예산실적비교표!AQ149,0)</f>
        <v>0</v>
      </c>
      <c r="AV149" s="973">
        <f t="shared" si="33"/>
        <v>0</v>
      </c>
      <c r="AW149" s="974">
        <f>IF(AR149="",0,ROUND((AT149*$AT$7)*데이터입력!$AF$14+(AT149*$AU$7)*데이터입력!$AF$14+(AT149*$AU$7*$AV$7)*데이터입력!$AF$14+(AT149*$AW$7)*데이터입력!$AF$14+(AT149*$AX$7)*데이터입력!$AF$14,-1))</f>
        <v>0</v>
      </c>
      <c r="AX149" s="975">
        <f t="shared" si="34"/>
        <v>0</v>
      </c>
      <c r="AY149" s="976">
        <f>IFERROR(IF($AE$2=TRUE,IF(AR149+AS149=0,0,AR149+AS149),ROUND(IF(데이터입력!$AF$14=100%,ROUND(AR149*$AR$1,-3),ROUND(AR149*$AR$1,-3)-ROUND(((AR149*$AR$1)*$AT$4)*(데이터입력!$AF$14-100%)+((AR149*$AR$1)*$AU$4)*(데이터입력!$AF$14-100%)+((AR149*$AR$1)*$AU$4*$AV$4)*(데이터입력!$AF$14-100%)+((AR149*$AR$1)*$AW$4)*(데이터입력!$AF$14-100%),-1)),0)),0)</f>
        <v>0</v>
      </c>
      <c r="AZ149" s="977">
        <f>IFERROR(IF(AR149+AS149=0,0,IF(데이터입력!$AF$12=100%,(AT149),(AT149)+ROUND(AT149*(데이터입력!$AF$12-100%),-1))),0)</f>
        <v>0</v>
      </c>
      <c r="BA149" s="1097" t="str">
        <f>IFERROR(IF(AZ149=0,"",IF(AND(예산실적비교표!AP149&gt;0,예산실적비교표!AW149=0),"",ROUND(AZ149/12,0))),"")</f>
        <v/>
      </c>
      <c r="BB149" s="1096" t="str">
        <f>IF(BA149="","",IF(데이터입력!$O$70="",ROUND(AZ149/12,0),ROUND(데이터입력!$O$70/데이터입력!$Y$8/$BC$63,0)))</f>
        <v/>
      </c>
    </row>
    <row r="150" spans="15:54">
      <c r="O150" s="482"/>
      <c r="P150" s="790">
        <f>$AE$20</f>
        <v>0</v>
      </c>
      <c r="Q150" s="486"/>
      <c r="R150" s="447" t="s">
        <v>57</v>
      </c>
      <c r="S150" s="448" t="s">
        <v>82</v>
      </c>
      <c r="T150" s="412">
        <f t="shared" si="37"/>
        <v>0</v>
      </c>
      <c r="U150" s="498">
        <v>1</v>
      </c>
      <c r="V150" s="452" t="s">
        <v>129</v>
      </c>
      <c r="AP150" s="1035" t="str">
        <f>IF(예산실적비교표!AL150&lt;&gt;"",예산실적비교표!AL150,"")</f>
        <v/>
      </c>
      <c r="AQ150" s="1036" t="str">
        <f>IF(예산실적비교표!AM150&lt;&gt;"",예산실적비교표!AM150,"")</f>
        <v/>
      </c>
      <c r="AR150" s="1037">
        <f>IF(AND(예산실적비교표!AN150&lt;&gt;"",예산실적비교표!AN150&gt;1),예산실적비교표!AN150,0)</f>
        <v>0</v>
      </c>
      <c r="AS150" s="1038">
        <f>IF(예산실적비교표!AO150&lt;&gt;"",예산실적비교표!AO150,0)</f>
        <v>0</v>
      </c>
      <c r="AT150" s="971">
        <f t="shared" si="32"/>
        <v>0</v>
      </c>
      <c r="AU150" s="1039">
        <f>IF(예산실적비교표!AQ150&lt;&gt;"",예산실적비교표!AQ150,0)</f>
        <v>0</v>
      </c>
      <c r="AV150" s="973">
        <f t="shared" si="33"/>
        <v>0</v>
      </c>
      <c r="AW150" s="974">
        <f>IF(AR150="",0,ROUND((AT150*$AT$7)*데이터입력!$AF$14+(AT150*$AU$7)*데이터입력!$AF$14+(AT150*$AU$7*$AV$7)*데이터입력!$AF$14+(AT150*$AW$7)*데이터입력!$AF$14+(AT150*$AX$7)*데이터입력!$AF$14,-1))</f>
        <v>0</v>
      </c>
      <c r="AX150" s="975">
        <f t="shared" si="34"/>
        <v>0</v>
      </c>
      <c r="AY150" s="976">
        <f>IFERROR(IF($AE$2=TRUE,IF(AR150+AS150=0,0,AR150+AS150),ROUND(IF(데이터입력!$AF$14=100%,ROUND(AR150*$AR$1,-3),ROUND(AR150*$AR$1,-3)-ROUND(((AR150*$AR$1)*$AT$4)*(데이터입력!$AF$14-100%)+((AR150*$AR$1)*$AU$4)*(데이터입력!$AF$14-100%)+((AR150*$AR$1)*$AU$4*$AV$4)*(데이터입력!$AF$14-100%)+((AR150*$AR$1)*$AW$4)*(데이터입력!$AF$14-100%),-1)),0)),0)</f>
        <v>0</v>
      </c>
      <c r="AZ150" s="977">
        <f>IFERROR(IF(AR150+AS150=0,0,IF(데이터입력!$AF$12=100%,(AT150),(AT150)+ROUND(AT150*(데이터입력!$AF$12-100%),-1))),0)</f>
        <v>0</v>
      </c>
      <c r="BA150" s="1097" t="str">
        <f>IFERROR(IF(AZ150=0,"",IF(AND(예산실적비교표!AP150&gt;0,예산실적비교표!AW150=0),"",ROUND(AZ150/12,0))),"")</f>
        <v/>
      </c>
      <c r="BB150" s="1096" t="str">
        <f>IF(BA150="","",IF(데이터입력!$O$70="",ROUND(AZ150/12,0),ROUND(데이터입력!$O$70/데이터입력!$Y$8/$BC$63,0)))</f>
        <v/>
      </c>
    </row>
    <row r="151" spans="15:54">
      <c r="O151" s="482"/>
      <c r="P151" s="790">
        <f t="shared" si="38"/>
        <v>0</v>
      </c>
      <c r="Q151" s="487">
        <v>0</v>
      </c>
      <c r="R151" s="447" t="s">
        <v>58</v>
      </c>
      <c r="S151" s="448" t="s">
        <v>82</v>
      </c>
      <c r="T151" s="412">
        <f t="shared" si="37"/>
        <v>0</v>
      </c>
      <c r="U151" s="498">
        <f>IF(Q151=0,$Y$8,Q151)</f>
        <v>12</v>
      </c>
      <c r="V151" s="360" t="s">
        <v>144</v>
      </c>
      <c r="AP151" s="1035" t="str">
        <f>IF(예산실적비교표!AL151&lt;&gt;"",예산실적비교표!AL151,"")</f>
        <v/>
      </c>
      <c r="AQ151" s="1036" t="str">
        <f>IF(예산실적비교표!AM151&lt;&gt;"",예산실적비교표!AM151,"")</f>
        <v/>
      </c>
      <c r="AR151" s="1037">
        <f>IF(AND(예산실적비교표!AN151&lt;&gt;"",예산실적비교표!AN151&gt;1),예산실적비교표!AN151,0)</f>
        <v>0</v>
      </c>
      <c r="AS151" s="1038">
        <f>IF(예산실적비교표!AO151&lt;&gt;"",예산실적비교표!AO151,0)</f>
        <v>0</v>
      </c>
      <c r="AT151" s="971">
        <f t="shared" si="32"/>
        <v>0</v>
      </c>
      <c r="AU151" s="1039">
        <f>IF(예산실적비교표!AQ151&lt;&gt;"",예산실적비교표!AQ151,0)</f>
        <v>0</v>
      </c>
      <c r="AV151" s="973">
        <f t="shared" si="33"/>
        <v>0</v>
      </c>
      <c r="AW151" s="974">
        <f>IF(AR151="",0,ROUND((AT151*$AT$7)*데이터입력!$AF$14+(AT151*$AU$7)*데이터입력!$AF$14+(AT151*$AU$7*$AV$7)*데이터입력!$AF$14+(AT151*$AW$7)*데이터입력!$AF$14+(AT151*$AX$7)*데이터입력!$AF$14,-1))</f>
        <v>0</v>
      </c>
      <c r="AX151" s="975">
        <f t="shared" si="34"/>
        <v>0</v>
      </c>
      <c r="AY151" s="976">
        <f>IFERROR(IF($AE$2=TRUE,IF(AR151+AS151=0,0,AR151+AS151),ROUND(IF(데이터입력!$AF$14=100%,ROUND(AR151*$AR$1,-3),ROUND(AR151*$AR$1,-3)-ROUND(((AR151*$AR$1)*$AT$4)*(데이터입력!$AF$14-100%)+((AR151*$AR$1)*$AU$4)*(데이터입력!$AF$14-100%)+((AR151*$AR$1)*$AU$4*$AV$4)*(데이터입력!$AF$14-100%)+((AR151*$AR$1)*$AW$4)*(데이터입력!$AF$14-100%),-1)),0)),0)</f>
        <v>0</v>
      </c>
      <c r="AZ151" s="977">
        <f>IFERROR(IF(AR151+AS151=0,0,IF(데이터입력!$AF$12=100%,(AT151),(AT151)+ROUND(AT151*(데이터입력!$AF$12-100%),-1))),0)</f>
        <v>0</v>
      </c>
      <c r="BA151" s="1097" t="str">
        <f>IFERROR(IF(AZ151=0,"",IF(AND(예산실적비교표!AP151&gt;0,예산실적비교표!AW151=0),"",ROUND(AZ151/12,0))),"")</f>
        <v/>
      </c>
      <c r="BB151" s="1096" t="str">
        <f>IF(BA151="","",IF(데이터입력!$O$70="",ROUND(AZ151/12,0),ROUND(데이터입력!$O$70/데이터입력!$Y$8/$BC$63,0)))</f>
        <v/>
      </c>
    </row>
    <row r="152" spans="15:54">
      <c r="O152" s="482"/>
      <c r="P152" s="790">
        <f t="shared" si="38"/>
        <v>0</v>
      </c>
      <c r="Q152" s="487">
        <v>0</v>
      </c>
      <c r="R152" s="447" t="s">
        <v>59</v>
      </c>
      <c r="S152" s="448" t="s">
        <v>82</v>
      </c>
      <c r="T152" s="412">
        <f t="shared" si="37"/>
        <v>0</v>
      </c>
      <c r="U152" s="498">
        <f>IF(Q152=0,$Y$8,Q152)</f>
        <v>12</v>
      </c>
      <c r="V152" s="360" t="s">
        <v>126</v>
      </c>
      <c r="AP152" s="1035" t="str">
        <f>IF(예산실적비교표!AL152&lt;&gt;"",예산실적비교표!AL152,"")</f>
        <v/>
      </c>
      <c r="AQ152" s="1036" t="str">
        <f>IF(예산실적비교표!AM152&lt;&gt;"",예산실적비교표!AM152,"")</f>
        <v/>
      </c>
      <c r="AR152" s="1037">
        <f>IF(AND(예산실적비교표!AN152&lt;&gt;"",예산실적비교표!AN152&gt;1),예산실적비교표!AN152,0)</f>
        <v>0</v>
      </c>
      <c r="AS152" s="1038">
        <f>IF(예산실적비교표!AO152&lt;&gt;"",예산실적비교표!AO152,0)</f>
        <v>0</v>
      </c>
      <c r="AT152" s="971">
        <f t="shared" si="32"/>
        <v>0</v>
      </c>
      <c r="AU152" s="1039">
        <f>IF(예산실적비교표!AQ152&lt;&gt;"",예산실적비교표!AQ152,0)</f>
        <v>0</v>
      </c>
      <c r="AV152" s="973">
        <f t="shared" si="33"/>
        <v>0</v>
      </c>
      <c r="AW152" s="974">
        <f>IF(AR152="",0,ROUND((AT152*$AT$7)*데이터입력!$AF$14+(AT152*$AU$7)*데이터입력!$AF$14+(AT152*$AU$7*$AV$7)*데이터입력!$AF$14+(AT152*$AW$7)*데이터입력!$AF$14+(AT152*$AX$7)*데이터입력!$AF$14,-1))</f>
        <v>0</v>
      </c>
      <c r="AX152" s="975">
        <f t="shared" si="34"/>
        <v>0</v>
      </c>
      <c r="AY152" s="976">
        <f>IFERROR(IF($AE$2=TRUE,IF(AR152+AS152=0,0,AR152+AS152),ROUND(IF(데이터입력!$AF$14=100%,ROUND(AR152*$AR$1,-3),ROUND(AR152*$AR$1,-3)-ROUND(((AR152*$AR$1)*$AT$4)*(데이터입력!$AF$14-100%)+((AR152*$AR$1)*$AU$4)*(데이터입력!$AF$14-100%)+((AR152*$AR$1)*$AU$4*$AV$4)*(데이터입력!$AF$14-100%)+((AR152*$AR$1)*$AW$4)*(데이터입력!$AF$14-100%),-1)),0)),0)</f>
        <v>0</v>
      </c>
      <c r="AZ152" s="977">
        <f>IFERROR(IF(AR152+AS152=0,0,IF(데이터입력!$AF$12=100%,(AT152),(AT152)+ROUND(AT152*(데이터입력!$AF$12-100%),-1))),0)</f>
        <v>0</v>
      </c>
      <c r="BA152" s="1097" t="str">
        <f>IFERROR(IF(AZ152=0,"",IF(AND(예산실적비교표!AP152&gt;0,예산실적비교표!AW152=0),"",ROUND(AZ152/12,0))),"")</f>
        <v/>
      </c>
      <c r="BB152" s="1096" t="str">
        <f>IF(BA152="","",IF(데이터입력!$O$70="",ROUND(AZ152/12,0),ROUND(데이터입력!$O$70/데이터입력!$Y$8/$BC$63,0)))</f>
        <v/>
      </c>
    </row>
    <row r="153" spans="15:54">
      <c r="O153" s="482"/>
      <c r="P153" s="790">
        <f t="shared" si="38"/>
        <v>0</v>
      </c>
      <c r="Q153" s="487">
        <v>0</v>
      </c>
      <c r="R153" s="447" t="s">
        <v>60</v>
      </c>
      <c r="S153" s="448" t="s">
        <v>82</v>
      </c>
      <c r="T153" s="412">
        <f t="shared" si="37"/>
        <v>0</v>
      </c>
      <c r="U153" s="498">
        <f>IF(Q153=0,$Y$8,Q153)</f>
        <v>12</v>
      </c>
      <c r="V153" s="360" t="s">
        <v>126</v>
      </c>
      <c r="AP153" s="1035" t="str">
        <f>IF(예산실적비교표!AL153&lt;&gt;"",예산실적비교표!AL153,"")</f>
        <v/>
      </c>
      <c r="AQ153" s="1036" t="str">
        <f>IF(예산실적비교표!AM153&lt;&gt;"",예산실적비교표!AM153,"")</f>
        <v/>
      </c>
      <c r="AR153" s="1037">
        <f>IF(AND(예산실적비교표!AN153&lt;&gt;"",예산실적비교표!AN153&gt;1),예산실적비교표!AN153,0)</f>
        <v>0</v>
      </c>
      <c r="AS153" s="1038">
        <f>IF(예산실적비교표!AO153&lt;&gt;"",예산실적비교표!AO153,0)</f>
        <v>0</v>
      </c>
      <c r="AT153" s="971">
        <f t="shared" si="32"/>
        <v>0</v>
      </c>
      <c r="AU153" s="1039">
        <f>IF(예산실적비교표!AQ153&lt;&gt;"",예산실적비교표!AQ153,0)</f>
        <v>0</v>
      </c>
      <c r="AV153" s="973">
        <f t="shared" si="33"/>
        <v>0</v>
      </c>
      <c r="AW153" s="974">
        <f>IF(AR153="",0,ROUND((AT153*$AT$7)*데이터입력!$AF$14+(AT153*$AU$7)*데이터입력!$AF$14+(AT153*$AU$7*$AV$7)*데이터입력!$AF$14+(AT153*$AW$7)*데이터입력!$AF$14+(AT153*$AX$7)*데이터입력!$AF$14,-1))</f>
        <v>0</v>
      </c>
      <c r="AX153" s="975">
        <f t="shared" si="34"/>
        <v>0</v>
      </c>
      <c r="AY153" s="976">
        <f>IFERROR(IF($AE$2=TRUE,IF(AR153+AS153=0,0,AR153+AS153),ROUND(IF(데이터입력!$AF$14=100%,ROUND(AR153*$AR$1,-3),ROUND(AR153*$AR$1,-3)-ROUND(((AR153*$AR$1)*$AT$4)*(데이터입력!$AF$14-100%)+((AR153*$AR$1)*$AU$4)*(데이터입력!$AF$14-100%)+((AR153*$AR$1)*$AU$4*$AV$4)*(데이터입력!$AF$14-100%)+((AR153*$AR$1)*$AW$4)*(데이터입력!$AF$14-100%),-1)),0)),0)</f>
        <v>0</v>
      </c>
      <c r="AZ153" s="977">
        <f>IFERROR(IF(AR153+AS153=0,0,IF(데이터입력!$AF$12=100%,(AT153),(AT153)+ROUND(AT153*(데이터입력!$AF$12-100%),-1))),0)</f>
        <v>0</v>
      </c>
      <c r="BA153" s="1097" t="str">
        <f>IFERROR(IF(AZ153=0,"",IF(AND(예산실적비교표!AP153&gt;0,예산실적비교표!AW153=0),"",ROUND(AZ153/12,0))),"")</f>
        <v/>
      </c>
      <c r="BB153" s="1096" t="str">
        <f>IF(BA153="","",IF(데이터입력!$O$70="",ROUND(AZ153/12,0),ROUND(데이터입력!$O$70/데이터입력!$Y$8/$BC$63,0)))</f>
        <v/>
      </c>
    </row>
    <row r="154" spans="15:54">
      <c r="O154" s="482"/>
      <c r="P154" s="790">
        <f>$AE$21</f>
        <v>0</v>
      </c>
      <c r="Q154" s="486"/>
      <c r="R154" s="447" t="s">
        <v>61</v>
      </c>
      <c r="S154" s="448" t="s">
        <v>82</v>
      </c>
      <c r="T154" s="412">
        <f t="shared" si="37"/>
        <v>0</v>
      </c>
      <c r="U154" s="498">
        <v>1</v>
      </c>
      <c r="V154" s="452" t="s">
        <v>129</v>
      </c>
      <c r="AP154" s="1035" t="str">
        <f>IF(예산실적비교표!AL154&lt;&gt;"",예산실적비교표!AL154,"")</f>
        <v/>
      </c>
      <c r="AQ154" s="1036" t="str">
        <f>IF(예산실적비교표!AM154&lt;&gt;"",예산실적비교표!AM154,"")</f>
        <v/>
      </c>
      <c r="AR154" s="1037">
        <f>IF(AND(예산실적비교표!AN154&lt;&gt;"",예산실적비교표!AN154&gt;1),예산실적비교표!AN154,0)</f>
        <v>0</v>
      </c>
      <c r="AS154" s="1038">
        <f>IF(예산실적비교표!AO154&lt;&gt;"",예산실적비교표!AO154,0)</f>
        <v>0</v>
      </c>
      <c r="AT154" s="971">
        <f t="shared" si="32"/>
        <v>0</v>
      </c>
      <c r="AU154" s="1039">
        <f>IF(예산실적비교표!AQ154&lt;&gt;"",예산실적비교표!AQ154,0)</f>
        <v>0</v>
      </c>
      <c r="AV154" s="973">
        <f t="shared" si="33"/>
        <v>0</v>
      </c>
      <c r="AW154" s="974">
        <f>IF(AR154="",0,ROUND((AT154*$AT$7)*데이터입력!$AF$14+(AT154*$AU$7)*데이터입력!$AF$14+(AT154*$AU$7*$AV$7)*데이터입력!$AF$14+(AT154*$AW$7)*데이터입력!$AF$14+(AT154*$AX$7)*데이터입력!$AF$14,-1))</f>
        <v>0</v>
      </c>
      <c r="AX154" s="975">
        <f t="shared" si="34"/>
        <v>0</v>
      </c>
      <c r="AY154" s="976">
        <f>IFERROR(IF($AE$2=TRUE,IF(AR154+AS154=0,0,AR154+AS154),ROUND(IF(데이터입력!$AF$14=100%,ROUND(AR154*$AR$1,-3),ROUND(AR154*$AR$1,-3)-ROUND(((AR154*$AR$1)*$AT$4)*(데이터입력!$AF$14-100%)+((AR154*$AR$1)*$AU$4)*(데이터입력!$AF$14-100%)+((AR154*$AR$1)*$AU$4*$AV$4)*(데이터입력!$AF$14-100%)+((AR154*$AR$1)*$AW$4)*(데이터입력!$AF$14-100%),-1)),0)),0)</f>
        <v>0</v>
      </c>
      <c r="AZ154" s="977">
        <f>IFERROR(IF(AR154+AS154=0,0,IF(데이터입력!$AF$12=100%,(AT154),(AT154)+ROUND(AT154*(데이터입력!$AF$12-100%),-1))),0)</f>
        <v>0</v>
      </c>
      <c r="BA154" s="1097" t="str">
        <f>IFERROR(IF(AZ154=0,"",IF(AND(예산실적비교표!AP154&gt;0,예산실적비교표!AW154=0),"",ROUND(AZ154/12,0))),"")</f>
        <v/>
      </c>
      <c r="BB154" s="1096" t="str">
        <f>IF(BA154="","",IF(데이터입력!$O$70="",ROUND(AZ154/12,0),ROUND(데이터입력!$O$70/데이터입력!$Y$8/$BC$63,0)))</f>
        <v/>
      </c>
    </row>
    <row r="155" spans="15:54">
      <c r="O155" s="482"/>
      <c r="P155" s="790">
        <f>$AE$22</f>
        <v>0</v>
      </c>
      <c r="Q155" s="486"/>
      <c r="R155" s="447" t="s">
        <v>62</v>
      </c>
      <c r="S155" s="448" t="s">
        <v>82</v>
      </c>
      <c r="T155" s="412">
        <f t="shared" si="37"/>
        <v>0</v>
      </c>
      <c r="U155" s="498">
        <v>1</v>
      </c>
      <c r="V155" s="452" t="s">
        <v>129</v>
      </c>
      <c r="AP155" s="1035" t="str">
        <f>IF(예산실적비교표!AL155&lt;&gt;"",예산실적비교표!AL155,"")</f>
        <v/>
      </c>
      <c r="AQ155" s="1036" t="str">
        <f>IF(예산실적비교표!AM155&lt;&gt;"",예산실적비교표!AM155,"")</f>
        <v/>
      </c>
      <c r="AR155" s="1037">
        <f>IF(AND(예산실적비교표!AN155&lt;&gt;"",예산실적비교표!AN155&gt;1),예산실적비교표!AN155,0)</f>
        <v>0</v>
      </c>
      <c r="AS155" s="1038">
        <f>IF(예산실적비교표!AO155&lt;&gt;"",예산실적비교표!AO155,0)</f>
        <v>0</v>
      </c>
      <c r="AT155" s="971">
        <f t="shared" si="32"/>
        <v>0</v>
      </c>
      <c r="AU155" s="1039">
        <f>IF(예산실적비교표!AQ155&lt;&gt;"",예산실적비교표!AQ155,0)</f>
        <v>0</v>
      </c>
      <c r="AV155" s="973">
        <f t="shared" si="33"/>
        <v>0</v>
      </c>
      <c r="AW155" s="974">
        <f>IF(AR155="",0,ROUND((AT155*$AT$7)*데이터입력!$AF$14+(AT155*$AU$7)*데이터입력!$AF$14+(AT155*$AU$7*$AV$7)*데이터입력!$AF$14+(AT155*$AW$7)*데이터입력!$AF$14+(AT155*$AX$7)*데이터입력!$AF$14,-1))</f>
        <v>0</v>
      </c>
      <c r="AX155" s="975">
        <f t="shared" si="34"/>
        <v>0</v>
      </c>
      <c r="AY155" s="976">
        <f>IFERROR(IF($AE$2=TRUE,IF(AR155+AS155=0,0,AR155+AS155),ROUND(IF(데이터입력!$AF$14=100%,ROUND(AR155*$AR$1,-3),ROUND(AR155*$AR$1,-3)-ROUND(((AR155*$AR$1)*$AT$4)*(데이터입력!$AF$14-100%)+((AR155*$AR$1)*$AU$4)*(데이터입력!$AF$14-100%)+((AR155*$AR$1)*$AU$4*$AV$4)*(데이터입력!$AF$14-100%)+((AR155*$AR$1)*$AW$4)*(데이터입력!$AF$14-100%),-1)),0)),0)</f>
        <v>0</v>
      </c>
      <c r="AZ155" s="977">
        <f>IFERROR(IF(AR155+AS155=0,0,IF(데이터입력!$AF$12=100%,(AT155),(AT155)+ROUND(AT155*(데이터입력!$AF$12-100%),-1))),0)</f>
        <v>0</v>
      </c>
      <c r="BA155" s="1097" t="str">
        <f>IFERROR(IF(AZ155=0,"",IF(AND(예산실적비교표!AP155&gt;0,예산실적비교표!AW155=0),"",ROUND(AZ155/12,0))),"")</f>
        <v/>
      </c>
      <c r="BB155" s="1096" t="str">
        <f>IF(BA155="","",IF(데이터입력!$O$70="",ROUND(AZ155/12,0),ROUND(데이터입력!$O$70/데이터입력!$Y$8/$BC$63,0)))</f>
        <v/>
      </c>
    </row>
    <row r="156" spans="15:54">
      <c r="O156" s="482"/>
      <c r="P156" s="790">
        <f t="shared" ref="P156:P158" si="39">IFERROR(IF(VLOOKUP(R156,$B$111:$L$137,11,FALSE)&gt;VLOOKUP(R156,$B$111:$L$137,6,FALSE),VLOOKUP(R156,$B$111:$L$137,11,FALSE),VLOOKUP(R156,$B$111:$L$137,6,FALSE)),0)</f>
        <v>0</v>
      </c>
      <c r="Q156" s="487">
        <v>0</v>
      </c>
      <c r="R156" s="447" t="s">
        <v>63</v>
      </c>
      <c r="S156" s="448" t="s">
        <v>82</v>
      </c>
      <c r="T156" s="412">
        <f t="shared" si="37"/>
        <v>0</v>
      </c>
      <c r="U156" s="498">
        <f>IF(Q156=0,$Y$8,Q156)</f>
        <v>12</v>
      </c>
      <c r="V156" s="360" t="s">
        <v>126</v>
      </c>
      <c r="AP156" s="1035" t="str">
        <f>IF(예산실적비교표!AL156&lt;&gt;"",예산실적비교표!AL156,"")</f>
        <v/>
      </c>
      <c r="AQ156" s="1036" t="str">
        <f>IF(예산실적비교표!AM156&lt;&gt;"",예산실적비교표!AM156,"")</f>
        <v/>
      </c>
      <c r="AR156" s="1037">
        <f>IF(AND(예산실적비교표!AN156&lt;&gt;"",예산실적비교표!AN156&gt;1),예산실적비교표!AN156,0)</f>
        <v>0</v>
      </c>
      <c r="AS156" s="1038">
        <f>IF(예산실적비교표!AO156&lt;&gt;"",예산실적비교표!AO156,0)</f>
        <v>0</v>
      </c>
      <c r="AT156" s="971">
        <f t="shared" si="32"/>
        <v>0</v>
      </c>
      <c r="AU156" s="1039">
        <f>IF(예산실적비교표!AQ156&lt;&gt;"",예산실적비교표!AQ156,0)</f>
        <v>0</v>
      </c>
      <c r="AV156" s="973">
        <f t="shared" si="33"/>
        <v>0</v>
      </c>
      <c r="AW156" s="974">
        <f>IF(AR156="",0,ROUND((AT156*$AT$7)*데이터입력!$AF$14+(AT156*$AU$7)*데이터입력!$AF$14+(AT156*$AU$7*$AV$7)*데이터입력!$AF$14+(AT156*$AW$7)*데이터입력!$AF$14+(AT156*$AX$7)*데이터입력!$AF$14,-1))</f>
        <v>0</v>
      </c>
      <c r="AX156" s="975">
        <f t="shared" si="34"/>
        <v>0</v>
      </c>
      <c r="AY156" s="976">
        <f>IFERROR(IF($AE$2=TRUE,IF(AR156+AS156=0,0,AR156+AS156),ROUND(IF(데이터입력!$AF$14=100%,ROUND(AR156*$AR$1,-3),ROUND(AR156*$AR$1,-3)-ROUND(((AR156*$AR$1)*$AT$4)*(데이터입력!$AF$14-100%)+((AR156*$AR$1)*$AU$4)*(데이터입력!$AF$14-100%)+((AR156*$AR$1)*$AU$4*$AV$4)*(데이터입력!$AF$14-100%)+((AR156*$AR$1)*$AW$4)*(데이터입력!$AF$14-100%),-1)),0)),0)</f>
        <v>0</v>
      </c>
      <c r="AZ156" s="977">
        <f>IFERROR(IF(AR156+AS156=0,0,IF(데이터입력!$AF$12=100%,(AT156),(AT156)+ROUND(AT156*(데이터입력!$AF$12-100%),-1))),0)</f>
        <v>0</v>
      </c>
      <c r="BA156" s="1097" t="str">
        <f>IFERROR(IF(AZ156=0,"",IF(AND(예산실적비교표!AP156&gt;0,예산실적비교표!AW156=0),"",ROUND(AZ156/12,0))),"")</f>
        <v/>
      </c>
      <c r="BB156" s="1096" t="str">
        <f>IF(BA156="","",IF(데이터입력!$O$70="",ROUND(AZ156/12,0),ROUND(데이터입력!$O$70/데이터입력!$Y$8/$BC$63,0)))</f>
        <v/>
      </c>
    </row>
    <row r="157" spans="15:54">
      <c r="O157" s="482"/>
      <c r="P157" s="790">
        <f t="shared" si="39"/>
        <v>0</v>
      </c>
      <c r="Q157" s="487">
        <v>0</v>
      </c>
      <c r="R157" s="447" t="s">
        <v>64</v>
      </c>
      <c r="S157" s="448" t="s">
        <v>82</v>
      </c>
      <c r="T157" s="412">
        <f t="shared" si="37"/>
        <v>0</v>
      </c>
      <c r="U157" s="498">
        <f>IF(Q157=0,$Y$8,Q157)</f>
        <v>12</v>
      </c>
      <c r="V157" s="360" t="s">
        <v>126</v>
      </c>
      <c r="AP157" s="1035" t="str">
        <f>IF(예산실적비교표!AL157&lt;&gt;"",예산실적비교표!AL157,"")</f>
        <v/>
      </c>
      <c r="AQ157" s="1036" t="str">
        <f>IF(예산실적비교표!AM157&lt;&gt;"",예산실적비교표!AM157,"")</f>
        <v/>
      </c>
      <c r="AR157" s="1037">
        <f>IF(AND(예산실적비교표!AN157&lt;&gt;"",예산실적비교표!AN157&gt;1),예산실적비교표!AN157,0)</f>
        <v>0</v>
      </c>
      <c r="AS157" s="1038">
        <f>IF(예산실적비교표!AO157&lt;&gt;"",예산실적비교표!AO157,0)</f>
        <v>0</v>
      </c>
      <c r="AT157" s="971">
        <f t="shared" si="32"/>
        <v>0</v>
      </c>
      <c r="AU157" s="1039">
        <f>IF(예산실적비교표!AQ157&lt;&gt;"",예산실적비교표!AQ157,0)</f>
        <v>0</v>
      </c>
      <c r="AV157" s="973">
        <f t="shared" si="33"/>
        <v>0</v>
      </c>
      <c r="AW157" s="974">
        <f>IF(AR157="",0,ROUND((AT157*$AT$7)*데이터입력!$AF$14+(AT157*$AU$7)*데이터입력!$AF$14+(AT157*$AU$7*$AV$7)*데이터입력!$AF$14+(AT157*$AW$7)*데이터입력!$AF$14+(AT157*$AX$7)*데이터입력!$AF$14,-1))</f>
        <v>0</v>
      </c>
      <c r="AX157" s="975">
        <f t="shared" si="34"/>
        <v>0</v>
      </c>
      <c r="AY157" s="976">
        <f>IFERROR(IF($AE$2=TRUE,IF(AR157+AS157=0,0,AR157+AS157),ROUND(IF(데이터입력!$AF$14=100%,ROUND(AR157*$AR$1,-3),ROUND(AR157*$AR$1,-3)-ROUND(((AR157*$AR$1)*$AT$4)*(데이터입력!$AF$14-100%)+((AR157*$AR$1)*$AU$4)*(데이터입력!$AF$14-100%)+((AR157*$AR$1)*$AU$4*$AV$4)*(데이터입력!$AF$14-100%)+((AR157*$AR$1)*$AW$4)*(데이터입력!$AF$14-100%),-1)),0)),0)</f>
        <v>0</v>
      </c>
      <c r="AZ157" s="977">
        <f>IFERROR(IF(AR157+AS157=0,0,IF(데이터입력!$AF$12=100%,(AT157),(AT157)+ROUND(AT157*(데이터입력!$AF$12-100%),-1))),0)</f>
        <v>0</v>
      </c>
      <c r="BA157" s="1097" t="str">
        <f>IFERROR(IF(AZ157=0,"",IF(AND(예산실적비교표!AP157&gt;0,예산실적비교표!AW157=0),"",ROUND(AZ157/12,0))),"")</f>
        <v/>
      </c>
      <c r="BB157" s="1096" t="str">
        <f>IF(BA157="","",IF(데이터입력!$O$70="",ROUND(AZ157/12,0),ROUND(데이터입력!$O$70/데이터입력!$Y$8/$BC$63,0)))</f>
        <v/>
      </c>
    </row>
    <row r="158" spans="15:54" ht="17.25" thickBot="1">
      <c r="O158" s="484"/>
      <c r="P158" s="791">
        <f t="shared" si="39"/>
        <v>0</v>
      </c>
      <c r="Q158" s="488">
        <v>0</v>
      </c>
      <c r="R158" s="453" t="s">
        <v>65</v>
      </c>
      <c r="S158" s="454" t="s">
        <v>82</v>
      </c>
      <c r="T158" s="417">
        <f t="shared" si="37"/>
        <v>0</v>
      </c>
      <c r="U158" s="499">
        <f>IF(Q158=0,$Y$8,Q158)</f>
        <v>12</v>
      </c>
      <c r="V158" s="405" t="s">
        <v>126</v>
      </c>
      <c r="AP158" s="1035" t="str">
        <f>IF(예산실적비교표!AL158&lt;&gt;"",예산실적비교표!AL158,"")</f>
        <v/>
      </c>
      <c r="AQ158" s="1036" t="str">
        <f>IF(예산실적비교표!AM158&lt;&gt;"",예산실적비교표!AM158,"")</f>
        <v/>
      </c>
      <c r="AR158" s="1037">
        <f>IF(AND(예산실적비교표!AN158&lt;&gt;"",예산실적비교표!AN158&gt;1),예산실적비교표!AN158,0)</f>
        <v>0</v>
      </c>
      <c r="AS158" s="1038">
        <f>IF(예산실적비교표!AO158&lt;&gt;"",예산실적비교표!AO158,0)</f>
        <v>0</v>
      </c>
      <c r="AT158" s="971">
        <f t="shared" si="32"/>
        <v>0</v>
      </c>
      <c r="AU158" s="1039">
        <f>IF(예산실적비교표!AQ158&lt;&gt;"",예산실적비교표!AQ158,0)</f>
        <v>0</v>
      </c>
      <c r="AV158" s="973">
        <f t="shared" si="33"/>
        <v>0</v>
      </c>
      <c r="AW158" s="974">
        <f>IF(AR158="",0,ROUND((AT158*$AT$7)*데이터입력!$AF$14+(AT158*$AU$7)*데이터입력!$AF$14+(AT158*$AU$7*$AV$7)*데이터입력!$AF$14+(AT158*$AW$7)*데이터입력!$AF$14+(AT158*$AX$7)*데이터입력!$AF$14,-1))</f>
        <v>0</v>
      </c>
      <c r="AX158" s="975">
        <f t="shared" si="34"/>
        <v>0</v>
      </c>
      <c r="AY158" s="976">
        <f>IFERROR(IF($AE$2=TRUE,IF(AR158+AS158=0,0,AR158+AS158),ROUND(IF(데이터입력!$AF$14=100%,ROUND(AR158*$AR$1,-3),ROUND(AR158*$AR$1,-3)-ROUND(((AR158*$AR$1)*$AT$4)*(데이터입력!$AF$14-100%)+((AR158*$AR$1)*$AU$4)*(데이터입력!$AF$14-100%)+((AR158*$AR$1)*$AU$4*$AV$4)*(데이터입력!$AF$14-100%)+((AR158*$AR$1)*$AW$4)*(데이터입력!$AF$14-100%),-1)),0)),0)</f>
        <v>0</v>
      </c>
      <c r="AZ158" s="977">
        <f>IFERROR(IF(AR158+AS158=0,0,IF(데이터입력!$AF$12=100%,(AT158),(AT158)+ROUND(AT158*(데이터입력!$AF$12-100%),-1))),0)</f>
        <v>0</v>
      </c>
      <c r="BA158" s="1097" t="str">
        <f>IFERROR(IF(AZ158=0,"",IF(AND(예산실적비교표!AP158&gt;0,예산실적비교표!AW158=0),"",ROUND(AZ158/12,0))),"")</f>
        <v/>
      </c>
      <c r="BB158" s="1096" t="str">
        <f>IF(BA158="","",IF(데이터입력!$O$70="",ROUND(AZ158/12,0),ROUND(데이터입력!$O$70/데이터입력!$Y$8/$BC$63,0)))</f>
        <v/>
      </c>
    </row>
    <row r="159" spans="15:54">
      <c r="AP159" s="1035" t="str">
        <f>IF(예산실적비교표!AL159&lt;&gt;"",예산실적비교표!AL159,"")</f>
        <v/>
      </c>
      <c r="AQ159" s="1036" t="str">
        <f>IF(예산실적비교표!AM159&lt;&gt;"",예산실적비교표!AM159,"")</f>
        <v/>
      </c>
      <c r="AR159" s="1037">
        <f>IF(AND(예산실적비교표!AN159&lt;&gt;"",예산실적비교표!AN159&gt;1),예산실적비교표!AN159,0)</f>
        <v>0</v>
      </c>
      <c r="AS159" s="1038">
        <f>IF(예산실적비교표!AO159&lt;&gt;"",예산실적비교표!AO159,0)</f>
        <v>0</v>
      </c>
      <c r="AT159" s="971">
        <f t="shared" si="32"/>
        <v>0</v>
      </c>
      <c r="AU159" s="1039">
        <f>IF(예산실적비교표!AQ159&lt;&gt;"",예산실적비교표!AQ159,0)</f>
        <v>0</v>
      </c>
      <c r="AV159" s="973">
        <f t="shared" si="33"/>
        <v>0</v>
      </c>
      <c r="AW159" s="974">
        <f>IF(AR159="",0,ROUND((AT159*$AT$7)*데이터입력!$AF$14+(AT159*$AU$7)*데이터입력!$AF$14+(AT159*$AU$7*$AV$7)*데이터입력!$AF$14+(AT159*$AW$7)*데이터입력!$AF$14+(AT159*$AX$7)*데이터입력!$AF$14,-1))</f>
        <v>0</v>
      </c>
      <c r="AX159" s="975">
        <f t="shared" si="34"/>
        <v>0</v>
      </c>
      <c r="AY159" s="976">
        <f>IFERROR(IF($AE$2=TRUE,IF(AR159+AS159=0,0,AR159+AS159),ROUND(IF(데이터입력!$AF$14=100%,ROUND(AR159*$AR$1,-3),ROUND(AR159*$AR$1,-3)-ROUND(((AR159*$AR$1)*$AT$4)*(데이터입력!$AF$14-100%)+((AR159*$AR$1)*$AU$4)*(데이터입력!$AF$14-100%)+((AR159*$AR$1)*$AU$4*$AV$4)*(데이터입력!$AF$14-100%)+((AR159*$AR$1)*$AW$4)*(데이터입력!$AF$14-100%),-1)),0)),0)</f>
        <v>0</v>
      </c>
      <c r="AZ159" s="977">
        <f>IFERROR(IF(AR159+AS159=0,0,IF(데이터입력!$AF$12=100%,(AT159),(AT159)+ROUND(AT159*(데이터입력!$AF$12-100%),-1))),0)</f>
        <v>0</v>
      </c>
      <c r="BA159" s="1097" t="str">
        <f>IFERROR(IF(AZ159=0,"",IF(AND(예산실적비교표!AP159&gt;0,예산실적비교표!AW159=0),"",ROUND(AZ159/12,0))),"")</f>
        <v/>
      </c>
      <c r="BB159" s="1096" t="str">
        <f>IF(BA159="","",IF(데이터입력!$O$70="",ROUND(AZ159/12,0),ROUND(데이터입력!$O$70/데이터입력!$Y$8/$BC$63,0)))</f>
        <v/>
      </c>
    </row>
    <row r="160" spans="15:54">
      <c r="AP160" s="1035" t="str">
        <f>IF(예산실적비교표!AL160&lt;&gt;"",예산실적비교표!AL160,"")</f>
        <v/>
      </c>
      <c r="AQ160" s="1036" t="str">
        <f>IF(예산실적비교표!AM160&lt;&gt;"",예산실적비교표!AM160,"")</f>
        <v/>
      </c>
      <c r="AR160" s="1037">
        <f>IF(AND(예산실적비교표!AN160&lt;&gt;"",예산실적비교표!AN160&gt;1),예산실적비교표!AN160,0)</f>
        <v>0</v>
      </c>
      <c r="AS160" s="1038">
        <f>IF(예산실적비교표!AO160&lt;&gt;"",예산실적비교표!AO160,0)</f>
        <v>0</v>
      </c>
      <c r="AT160" s="971">
        <f t="shared" si="32"/>
        <v>0</v>
      </c>
      <c r="AU160" s="1039">
        <f>IF(예산실적비교표!AQ160&lt;&gt;"",예산실적비교표!AQ160,0)</f>
        <v>0</v>
      </c>
      <c r="AV160" s="973">
        <f t="shared" si="33"/>
        <v>0</v>
      </c>
      <c r="AW160" s="974">
        <f>IF(AR160="",0,ROUND((AT160*$AT$7)*데이터입력!$AF$14+(AT160*$AU$7)*데이터입력!$AF$14+(AT160*$AU$7*$AV$7)*데이터입력!$AF$14+(AT160*$AW$7)*데이터입력!$AF$14+(AT160*$AX$7)*데이터입력!$AF$14,-1))</f>
        <v>0</v>
      </c>
      <c r="AX160" s="975">
        <f t="shared" si="34"/>
        <v>0</v>
      </c>
      <c r="AY160" s="976">
        <f>IFERROR(IF($AE$2=TRUE,IF(AR160+AS160=0,0,AR160+AS160),ROUND(IF(데이터입력!$AF$14=100%,ROUND(AR160*$AR$1,-3),ROUND(AR160*$AR$1,-3)-ROUND(((AR160*$AR$1)*$AT$4)*(데이터입력!$AF$14-100%)+((AR160*$AR$1)*$AU$4)*(데이터입력!$AF$14-100%)+((AR160*$AR$1)*$AU$4*$AV$4)*(데이터입력!$AF$14-100%)+((AR160*$AR$1)*$AW$4)*(데이터입력!$AF$14-100%),-1)),0)),0)</f>
        <v>0</v>
      </c>
      <c r="AZ160" s="977">
        <f>IFERROR(IF(AR160+AS160=0,0,IF(데이터입력!$AF$12=100%,(AT160),(AT160)+ROUND(AT160*(데이터입력!$AF$12-100%),-1))),0)</f>
        <v>0</v>
      </c>
      <c r="BA160" s="1097" t="str">
        <f>IFERROR(IF(AZ160=0,"",IF(AND(예산실적비교표!AP160&gt;0,예산실적비교표!AW160=0),"",ROUND(AZ160/12,0))),"")</f>
        <v/>
      </c>
      <c r="BB160" s="1096" t="str">
        <f>IF(BA160="","",IF(데이터입력!$O$70="",ROUND(AZ160/12,0),ROUND(데이터입력!$O$70/데이터입력!$Y$8/$BC$63,0)))</f>
        <v/>
      </c>
    </row>
    <row r="161" spans="42:54">
      <c r="AP161" s="1035" t="str">
        <f>IF(예산실적비교표!AL161&lt;&gt;"",예산실적비교표!AL161,"")</f>
        <v/>
      </c>
      <c r="AQ161" s="1036" t="str">
        <f>IF(예산실적비교표!AM161&lt;&gt;"",예산실적비교표!AM161,"")</f>
        <v/>
      </c>
      <c r="AR161" s="1037">
        <f>IF(AND(예산실적비교표!AN161&lt;&gt;"",예산실적비교표!AN161&gt;1),예산실적비교표!AN161,0)</f>
        <v>0</v>
      </c>
      <c r="AS161" s="1038">
        <f>IF(예산실적비교표!AO161&lt;&gt;"",예산실적비교표!AO161,0)</f>
        <v>0</v>
      </c>
      <c r="AT161" s="971">
        <f t="shared" si="32"/>
        <v>0</v>
      </c>
      <c r="AU161" s="1039">
        <f>IF(예산실적비교표!AQ161&lt;&gt;"",예산실적비교표!AQ161,0)</f>
        <v>0</v>
      </c>
      <c r="AV161" s="973">
        <f t="shared" si="33"/>
        <v>0</v>
      </c>
      <c r="AW161" s="974">
        <f>IF(AR161="",0,ROUND((AT161*$AT$7)*데이터입력!$AF$14+(AT161*$AU$7)*데이터입력!$AF$14+(AT161*$AU$7*$AV$7)*데이터입력!$AF$14+(AT161*$AW$7)*데이터입력!$AF$14+(AT161*$AX$7)*데이터입력!$AF$14,-1))</f>
        <v>0</v>
      </c>
      <c r="AX161" s="975">
        <f t="shared" si="34"/>
        <v>0</v>
      </c>
      <c r="AY161" s="976">
        <f>IFERROR(IF($AE$2=TRUE,IF(AR161+AS161=0,0,AR161+AS161),ROUND(IF(데이터입력!$AF$14=100%,ROUND(AR161*$AR$1,-3),ROUND(AR161*$AR$1,-3)-ROUND(((AR161*$AR$1)*$AT$4)*(데이터입력!$AF$14-100%)+((AR161*$AR$1)*$AU$4)*(데이터입력!$AF$14-100%)+((AR161*$AR$1)*$AU$4*$AV$4)*(데이터입력!$AF$14-100%)+((AR161*$AR$1)*$AW$4)*(데이터입력!$AF$14-100%),-1)),0)),0)</f>
        <v>0</v>
      </c>
      <c r="AZ161" s="977">
        <f>IFERROR(IF(AR161+AS161=0,0,IF(데이터입력!$AF$12=100%,(AT161),(AT161)+ROUND(AT161*(데이터입력!$AF$12-100%),-1))),0)</f>
        <v>0</v>
      </c>
      <c r="BA161" s="1097" t="str">
        <f>IFERROR(IF(AZ161=0,"",IF(AND(예산실적비교표!AP161&gt;0,예산실적비교표!AW161=0),"",ROUND(AZ161/12,0))),"")</f>
        <v/>
      </c>
      <c r="BB161" s="1096" t="str">
        <f>IF(BA161="","",IF(데이터입력!$O$70="",ROUND(AZ161/12,0),ROUND(데이터입력!$O$70/데이터입력!$Y$8/$BC$63,0)))</f>
        <v/>
      </c>
    </row>
    <row r="162" spans="42:54">
      <c r="AP162" s="1035" t="str">
        <f>IF(예산실적비교표!AL162&lt;&gt;"",예산실적비교표!AL162,"")</f>
        <v/>
      </c>
      <c r="AQ162" s="1036" t="str">
        <f>IF(예산실적비교표!AM162&lt;&gt;"",예산실적비교표!AM162,"")</f>
        <v/>
      </c>
      <c r="AR162" s="1037">
        <f>IF(AND(예산실적비교표!AN162&lt;&gt;"",예산실적비교표!AN162&gt;1),예산실적비교표!AN162,0)</f>
        <v>0</v>
      </c>
      <c r="AS162" s="1038">
        <f>IF(예산실적비교표!AO162&lt;&gt;"",예산실적비교표!AO162,0)</f>
        <v>0</v>
      </c>
      <c r="AT162" s="971">
        <f t="shared" si="32"/>
        <v>0</v>
      </c>
      <c r="AU162" s="1039">
        <f>IF(예산실적비교표!AQ162&lt;&gt;"",예산실적비교표!AQ162,0)</f>
        <v>0</v>
      </c>
      <c r="AV162" s="973">
        <f t="shared" si="33"/>
        <v>0</v>
      </c>
      <c r="AW162" s="974">
        <f>IF(AR162="",0,ROUND((AT162*$AT$7)*데이터입력!$AF$14+(AT162*$AU$7)*데이터입력!$AF$14+(AT162*$AU$7*$AV$7)*데이터입력!$AF$14+(AT162*$AW$7)*데이터입력!$AF$14+(AT162*$AX$7)*데이터입력!$AF$14,-1))</f>
        <v>0</v>
      </c>
      <c r="AX162" s="975">
        <f t="shared" si="34"/>
        <v>0</v>
      </c>
      <c r="AY162" s="976">
        <f>IFERROR(IF($AE$2=TRUE,IF(AR162+AS162=0,0,AR162+AS162),ROUND(IF(데이터입력!$AF$14=100%,ROUND(AR162*$AR$1,-3),ROUND(AR162*$AR$1,-3)-ROUND(((AR162*$AR$1)*$AT$4)*(데이터입력!$AF$14-100%)+((AR162*$AR$1)*$AU$4)*(데이터입력!$AF$14-100%)+((AR162*$AR$1)*$AU$4*$AV$4)*(데이터입력!$AF$14-100%)+((AR162*$AR$1)*$AW$4)*(데이터입력!$AF$14-100%),-1)),0)),0)</f>
        <v>0</v>
      </c>
      <c r="AZ162" s="977">
        <f>IFERROR(IF(AR162+AS162=0,0,IF(데이터입력!$AF$12=100%,(AT162),(AT162)+ROUND(AT162*(데이터입력!$AF$12-100%),-1))),0)</f>
        <v>0</v>
      </c>
      <c r="BA162" s="1097" t="str">
        <f>IFERROR(IF(AZ162=0,"",IF(AND(예산실적비교표!AP162&gt;0,예산실적비교표!AW162=0),"",ROUND(AZ162/12,0))),"")</f>
        <v/>
      </c>
      <c r="BB162" s="1096" t="str">
        <f>IF(BA162="","",IF(데이터입력!$O$70="",ROUND(AZ162/12,0),ROUND(데이터입력!$O$70/데이터입력!$Y$8/$BC$63,0)))</f>
        <v/>
      </c>
    </row>
    <row r="163" spans="42:54">
      <c r="AP163" s="1035" t="str">
        <f>IF(예산실적비교표!AL163&lt;&gt;"",예산실적비교표!AL163,"")</f>
        <v/>
      </c>
      <c r="AQ163" s="1036" t="str">
        <f>IF(예산실적비교표!AM163&lt;&gt;"",예산실적비교표!AM163,"")</f>
        <v/>
      </c>
      <c r="AR163" s="1037">
        <f>IF(AND(예산실적비교표!AN163&lt;&gt;"",예산실적비교표!AN163&gt;1),예산실적비교표!AN163,0)</f>
        <v>0</v>
      </c>
      <c r="AS163" s="1038">
        <f>IF(예산실적비교표!AO163&lt;&gt;"",예산실적비교표!AO163,0)</f>
        <v>0</v>
      </c>
      <c r="AT163" s="971">
        <f t="shared" si="32"/>
        <v>0</v>
      </c>
      <c r="AU163" s="1039">
        <f>IF(예산실적비교표!AQ163&lt;&gt;"",예산실적비교표!AQ163,0)</f>
        <v>0</v>
      </c>
      <c r="AV163" s="973">
        <f t="shared" si="33"/>
        <v>0</v>
      </c>
      <c r="AW163" s="974">
        <f>IF(AR163="",0,ROUND((AT163*$AT$7)*데이터입력!$AF$14+(AT163*$AU$7)*데이터입력!$AF$14+(AT163*$AU$7*$AV$7)*데이터입력!$AF$14+(AT163*$AW$7)*데이터입력!$AF$14+(AT163*$AX$7)*데이터입력!$AF$14,-1))</f>
        <v>0</v>
      </c>
      <c r="AX163" s="975">
        <f t="shared" si="34"/>
        <v>0</v>
      </c>
      <c r="AY163" s="976">
        <f>IFERROR(IF($AE$2=TRUE,IF(AR163+AS163=0,0,AR163+AS163),ROUND(IF(데이터입력!$AF$14=100%,ROUND(AR163*$AR$1,-3),ROUND(AR163*$AR$1,-3)-ROUND(((AR163*$AR$1)*$AT$4)*(데이터입력!$AF$14-100%)+((AR163*$AR$1)*$AU$4)*(데이터입력!$AF$14-100%)+((AR163*$AR$1)*$AU$4*$AV$4)*(데이터입력!$AF$14-100%)+((AR163*$AR$1)*$AW$4)*(데이터입력!$AF$14-100%),-1)),0)),0)</f>
        <v>0</v>
      </c>
      <c r="AZ163" s="977">
        <f>IFERROR(IF(AR163+AS163=0,0,IF(데이터입력!$AF$12=100%,(AT163),(AT163)+ROUND(AT163*(데이터입력!$AF$12-100%),-1))),0)</f>
        <v>0</v>
      </c>
      <c r="BA163" s="1097" t="str">
        <f>IFERROR(IF(AZ163=0,"",IF(AND(예산실적비교표!AP163&gt;0,예산실적비교표!AW163=0),"",ROUND(AZ163/12,0))),"")</f>
        <v/>
      </c>
      <c r="BB163" s="1096" t="str">
        <f>IF(BA163="","",IF(데이터입력!$O$70="",ROUND(AZ163/12,0),ROUND(데이터입력!$O$70/데이터입력!$Y$8/$BC$63,0)))</f>
        <v/>
      </c>
    </row>
    <row r="164" spans="42:54">
      <c r="AP164" s="1035" t="str">
        <f>IF(예산실적비교표!AL164&lt;&gt;"",예산실적비교표!AL164,"")</f>
        <v/>
      </c>
      <c r="AQ164" s="1036" t="str">
        <f>IF(예산실적비교표!AM164&lt;&gt;"",예산실적비교표!AM164,"")</f>
        <v/>
      </c>
      <c r="AR164" s="1037">
        <f>IF(AND(예산실적비교표!AN164&lt;&gt;"",예산실적비교표!AN164&gt;1),예산실적비교표!AN164,0)</f>
        <v>0</v>
      </c>
      <c r="AS164" s="1038">
        <f>IF(예산실적비교표!AO164&lt;&gt;"",예산실적비교표!AO164,0)</f>
        <v>0</v>
      </c>
      <c r="AT164" s="971">
        <f t="shared" si="32"/>
        <v>0</v>
      </c>
      <c r="AU164" s="1039">
        <f>IF(예산실적비교표!AQ164&lt;&gt;"",예산실적비교표!AQ164,0)</f>
        <v>0</v>
      </c>
      <c r="AV164" s="973">
        <f t="shared" si="33"/>
        <v>0</v>
      </c>
      <c r="AW164" s="974">
        <f>IF(AR164="",0,ROUND((AT164*$AT$7)*데이터입력!$AF$14+(AT164*$AU$7)*데이터입력!$AF$14+(AT164*$AU$7*$AV$7)*데이터입력!$AF$14+(AT164*$AW$7)*데이터입력!$AF$14+(AT164*$AX$7)*데이터입력!$AF$14,-1))</f>
        <v>0</v>
      </c>
      <c r="AX164" s="975">
        <f t="shared" si="34"/>
        <v>0</v>
      </c>
      <c r="AY164" s="976">
        <f>IFERROR(IF($AE$2=TRUE,IF(AR164+AS164=0,0,AR164+AS164),ROUND(IF(데이터입력!$AF$14=100%,ROUND(AR164*$AR$1,-3),ROUND(AR164*$AR$1,-3)-ROUND(((AR164*$AR$1)*$AT$4)*(데이터입력!$AF$14-100%)+((AR164*$AR$1)*$AU$4)*(데이터입력!$AF$14-100%)+((AR164*$AR$1)*$AU$4*$AV$4)*(데이터입력!$AF$14-100%)+((AR164*$AR$1)*$AW$4)*(데이터입력!$AF$14-100%),-1)),0)),0)</f>
        <v>0</v>
      </c>
      <c r="AZ164" s="977">
        <f>IFERROR(IF(AR164+AS164=0,0,IF(데이터입력!$AF$12=100%,(AT164),(AT164)+ROUND(AT164*(데이터입력!$AF$12-100%),-1))),0)</f>
        <v>0</v>
      </c>
      <c r="BA164" s="1097" t="str">
        <f>IFERROR(IF(AZ164=0,"",IF(AND(예산실적비교표!AP164&gt;0,예산실적비교표!AW164=0),"",ROUND(AZ164/12,0))),"")</f>
        <v/>
      </c>
      <c r="BB164" s="1096" t="str">
        <f>IF(BA164="","",IF(데이터입력!$O$70="",ROUND(AZ164/12,0),ROUND(데이터입력!$O$70/데이터입력!$Y$8/$BC$63,0)))</f>
        <v/>
      </c>
    </row>
    <row r="165" spans="42:54">
      <c r="AP165" s="1035" t="str">
        <f>IF(예산실적비교표!AL165&lt;&gt;"",예산실적비교표!AL165,"")</f>
        <v/>
      </c>
      <c r="AQ165" s="1036" t="str">
        <f>IF(예산실적비교표!AM165&lt;&gt;"",예산실적비교표!AM165,"")</f>
        <v/>
      </c>
      <c r="AR165" s="1037">
        <f>IF(AND(예산실적비교표!AN165&lt;&gt;"",예산실적비교표!AN165&gt;1),예산실적비교표!AN165,0)</f>
        <v>0</v>
      </c>
      <c r="AS165" s="1038">
        <f>IF(예산실적비교표!AO165&lt;&gt;"",예산실적비교표!AO165,0)</f>
        <v>0</v>
      </c>
      <c r="AT165" s="971">
        <f t="shared" si="32"/>
        <v>0</v>
      </c>
      <c r="AU165" s="1039">
        <f>IF(예산실적비교표!AQ165&lt;&gt;"",예산실적비교표!AQ165,0)</f>
        <v>0</v>
      </c>
      <c r="AV165" s="973">
        <f t="shared" si="33"/>
        <v>0</v>
      </c>
      <c r="AW165" s="974">
        <f>IF(AR165="",0,ROUND((AT165*$AT$7)*데이터입력!$AF$14+(AT165*$AU$7)*데이터입력!$AF$14+(AT165*$AU$7*$AV$7)*데이터입력!$AF$14+(AT165*$AW$7)*데이터입력!$AF$14+(AT165*$AX$7)*데이터입력!$AF$14,-1))</f>
        <v>0</v>
      </c>
      <c r="AX165" s="975">
        <f t="shared" si="34"/>
        <v>0</v>
      </c>
      <c r="AY165" s="976">
        <f>IFERROR(IF($AE$2=TRUE,IF(AR165+AS165=0,0,AR165+AS165),ROUND(IF(데이터입력!$AF$14=100%,ROUND(AR165*$AR$1,-3),ROUND(AR165*$AR$1,-3)-ROUND(((AR165*$AR$1)*$AT$4)*(데이터입력!$AF$14-100%)+((AR165*$AR$1)*$AU$4)*(데이터입력!$AF$14-100%)+((AR165*$AR$1)*$AU$4*$AV$4)*(데이터입력!$AF$14-100%)+((AR165*$AR$1)*$AW$4)*(데이터입력!$AF$14-100%),-1)),0)),0)</f>
        <v>0</v>
      </c>
      <c r="AZ165" s="977">
        <f>IFERROR(IF(AR165+AS165=0,0,IF(데이터입력!$AF$12=100%,(AT165),(AT165)+ROUND(AT165*(데이터입력!$AF$12-100%),-1))),0)</f>
        <v>0</v>
      </c>
      <c r="BA165" s="1097" t="str">
        <f>IFERROR(IF(AZ165=0,"",IF(AND(예산실적비교표!AP165&gt;0,예산실적비교표!AW165=0),"",ROUND(AZ165/12,0))),"")</f>
        <v/>
      </c>
      <c r="BB165" s="1096" t="str">
        <f>IF(BA165="","",IF(데이터입력!$O$70="",ROUND(AZ165/12,0),ROUND(데이터입력!$O$70/데이터입력!$Y$8/$BC$63,0)))</f>
        <v/>
      </c>
    </row>
    <row r="166" spans="42:54">
      <c r="AP166" s="1035" t="str">
        <f>IF(예산실적비교표!AL166&lt;&gt;"",예산실적비교표!AL166,"")</f>
        <v/>
      </c>
      <c r="AQ166" s="1036" t="str">
        <f>IF(예산실적비교표!AM166&lt;&gt;"",예산실적비교표!AM166,"")</f>
        <v/>
      </c>
      <c r="AR166" s="1037">
        <f>IF(AND(예산실적비교표!AN166&lt;&gt;"",예산실적비교표!AN166&gt;1),예산실적비교표!AN166,0)</f>
        <v>0</v>
      </c>
      <c r="AS166" s="1038">
        <f>IF(예산실적비교표!AO166&lt;&gt;"",예산실적비교표!AO166,0)</f>
        <v>0</v>
      </c>
      <c r="AT166" s="971">
        <f t="shared" si="32"/>
        <v>0</v>
      </c>
      <c r="AU166" s="1039">
        <f>IF(예산실적비교표!AQ166&lt;&gt;"",예산실적비교표!AQ166,0)</f>
        <v>0</v>
      </c>
      <c r="AV166" s="973">
        <f t="shared" si="33"/>
        <v>0</v>
      </c>
      <c r="AW166" s="974">
        <f>IF(AR166="",0,ROUND((AT166*$AT$7)*데이터입력!$AF$14+(AT166*$AU$7)*데이터입력!$AF$14+(AT166*$AU$7*$AV$7)*데이터입력!$AF$14+(AT166*$AW$7)*데이터입력!$AF$14+(AT166*$AX$7)*데이터입력!$AF$14,-1))</f>
        <v>0</v>
      </c>
      <c r="AX166" s="975">
        <f t="shared" si="34"/>
        <v>0</v>
      </c>
      <c r="AY166" s="976">
        <f>IFERROR(IF($AE$2=TRUE,IF(AR166+AS166=0,0,AR166+AS166),ROUND(IF(데이터입력!$AF$14=100%,ROUND(AR166*$AR$1,-3),ROUND(AR166*$AR$1,-3)-ROUND(((AR166*$AR$1)*$AT$4)*(데이터입력!$AF$14-100%)+((AR166*$AR$1)*$AU$4)*(데이터입력!$AF$14-100%)+((AR166*$AR$1)*$AU$4*$AV$4)*(데이터입력!$AF$14-100%)+((AR166*$AR$1)*$AW$4)*(데이터입력!$AF$14-100%),-1)),0)),0)</f>
        <v>0</v>
      </c>
      <c r="AZ166" s="977">
        <f>IFERROR(IF(AR166+AS166=0,0,IF(데이터입력!$AF$12=100%,(AT166),(AT166)+ROUND(AT166*(데이터입력!$AF$12-100%),-1))),0)</f>
        <v>0</v>
      </c>
      <c r="BA166" s="1097" t="str">
        <f>IFERROR(IF(AZ166=0,"",IF(AND(예산실적비교표!AP166&gt;0,예산실적비교표!AW166=0),"",ROUND(AZ166/12,0))),"")</f>
        <v/>
      </c>
      <c r="BB166" s="1096" t="str">
        <f>IF(BA166="","",IF(데이터입력!$O$70="",ROUND(AZ166/12,0),ROUND(데이터입력!$O$70/데이터입력!$Y$8/$BC$63,0)))</f>
        <v/>
      </c>
    </row>
    <row r="167" spans="42:54">
      <c r="AP167" s="1035" t="str">
        <f>IF(예산실적비교표!AL167&lt;&gt;"",예산실적비교표!AL167,"")</f>
        <v/>
      </c>
      <c r="AQ167" s="1036" t="str">
        <f>IF(예산실적비교표!AM167&lt;&gt;"",예산실적비교표!AM167,"")</f>
        <v/>
      </c>
      <c r="AR167" s="1037">
        <f>IF(AND(예산실적비교표!AN167&lt;&gt;"",예산실적비교표!AN167&gt;1),예산실적비교표!AN167,0)</f>
        <v>0</v>
      </c>
      <c r="AS167" s="1038">
        <f>IF(예산실적비교표!AO167&lt;&gt;"",예산실적비교표!AO167,0)</f>
        <v>0</v>
      </c>
      <c r="AT167" s="971">
        <f t="shared" si="32"/>
        <v>0</v>
      </c>
      <c r="AU167" s="1039">
        <f>IF(예산실적비교표!AQ167&lt;&gt;"",예산실적비교표!AQ167,0)</f>
        <v>0</v>
      </c>
      <c r="AV167" s="973">
        <f t="shared" si="33"/>
        <v>0</v>
      </c>
      <c r="AW167" s="974">
        <f>IF(AR167="",0,ROUND((AT167*$AT$7)*데이터입력!$AF$14+(AT167*$AU$7)*데이터입력!$AF$14+(AT167*$AU$7*$AV$7)*데이터입력!$AF$14+(AT167*$AW$7)*데이터입력!$AF$14+(AT167*$AX$7)*데이터입력!$AF$14,-1))</f>
        <v>0</v>
      </c>
      <c r="AX167" s="975">
        <f t="shared" si="34"/>
        <v>0</v>
      </c>
      <c r="AY167" s="976">
        <f>IFERROR(IF($AE$2=TRUE,IF(AR167+AS167=0,0,AR167+AS167),ROUND(IF(데이터입력!$AF$14=100%,ROUND(AR167*$AR$1,-3),ROUND(AR167*$AR$1,-3)-ROUND(((AR167*$AR$1)*$AT$4)*(데이터입력!$AF$14-100%)+((AR167*$AR$1)*$AU$4)*(데이터입력!$AF$14-100%)+((AR167*$AR$1)*$AU$4*$AV$4)*(데이터입력!$AF$14-100%)+((AR167*$AR$1)*$AW$4)*(데이터입력!$AF$14-100%),-1)),0)),0)</f>
        <v>0</v>
      </c>
      <c r="AZ167" s="977">
        <f>IFERROR(IF(AR167+AS167=0,0,IF(데이터입력!$AF$12=100%,(AT167),(AT167)+ROUND(AT167*(데이터입력!$AF$12-100%),-1))),0)</f>
        <v>0</v>
      </c>
      <c r="BA167" s="1097" t="str">
        <f>IFERROR(IF(AZ167=0,"",IF(AND(예산실적비교표!AP167&gt;0,예산실적비교표!AW167=0),"",ROUND(AZ167/12,0))),"")</f>
        <v/>
      </c>
      <c r="BB167" s="1096" t="str">
        <f>IF(BA167="","",IF(데이터입력!$O$70="",ROUND(AZ167/12,0),ROUND(데이터입력!$O$70/데이터입력!$Y$8/$BC$63,0)))</f>
        <v/>
      </c>
    </row>
    <row r="168" spans="42:54">
      <c r="AP168" s="1035" t="str">
        <f>IF(예산실적비교표!AL168&lt;&gt;"",예산실적비교표!AL168,"")</f>
        <v/>
      </c>
      <c r="AQ168" s="1036" t="str">
        <f>IF(예산실적비교표!AM168&lt;&gt;"",예산실적비교표!AM168,"")</f>
        <v/>
      </c>
      <c r="AR168" s="1037">
        <f>IF(AND(예산실적비교표!AN168&lt;&gt;"",예산실적비교표!AN168&gt;1),예산실적비교표!AN168,0)</f>
        <v>0</v>
      </c>
      <c r="AS168" s="1038">
        <f>IF(예산실적비교표!AO168&lt;&gt;"",예산실적비교표!AO168,0)</f>
        <v>0</v>
      </c>
      <c r="AT168" s="971">
        <f t="shared" si="32"/>
        <v>0</v>
      </c>
      <c r="AU168" s="1039">
        <f>IF(예산실적비교표!AQ168&lt;&gt;"",예산실적비교표!AQ168,0)</f>
        <v>0</v>
      </c>
      <c r="AV168" s="973">
        <f t="shared" si="33"/>
        <v>0</v>
      </c>
      <c r="AW168" s="974">
        <f>IF(AR168="",0,ROUND((AT168*$AT$7)*데이터입력!$AF$14+(AT168*$AU$7)*데이터입력!$AF$14+(AT168*$AU$7*$AV$7)*데이터입력!$AF$14+(AT168*$AW$7)*데이터입력!$AF$14+(AT168*$AX$7)*데이터입력!$AF$14,-1))</f>
        <v>0</v>
      </c>
      <c r="AX168" s="975">
        <f t="shared" si="34"/>
        <v>0</v>
      </c>
      <c r="AY168" s="976">
        <f>IFERROR(IF($AE$2=TRUE,IF(AR168+AS168=0,0,AR168+AS168),ROUND(IF(데이터입력!$AF$14=100%,ROUND(AR168*$AR$1,-3),ROUND(AR168*$AR$1,-3)-ROUND(((AR168*$AR$1)*$AT$4)*(데이터입력!$AF$14-100%)+((AR168*$AR$1)*$AU$4)*(데이터입력!$AF$14-100%)+((AR168*$AR$1)*$AU$4*$AV$4)*(데이터입력!$AF$14-100%)+((AR168*$AR$1)*$AW$4)*(데이터입력!$AF$14-100%),-1)),0)),0)</f>
        <v>0</v>
      </c>
      <c r="AZ168" s="977">
        <f>IFERROR(IF(AR168+AS168=0,0,IF(데이터입력!$AF$12=100%,(AT168),(AT168)+ROUND(AT168*(데이터입력!$AF$12-100%),-1))),0)</f>
        <v>0</v>
      </c>
      <c r="BA168" s="1097" t="str">
        <f>IFERROR(IF(AZ168=0,"",IF(AND(예산실적비교표!AP168&gt;0,예산실적비교표!AW168=0),"",ROUND(AZ168/12,0))),"")</f>
        <v/>
      </c>
      <c r="BB168" s="1096" t="str">
        <f>IF(BA168="","",IF(데이터입력!$O$70="",ROUND(AZ168/12,0),ROUND(데이터입력!$O$70/데이터입력!$Y$8/$BC$63,0)))</f>
        <v/>
      </c>
    </row>
    <row r="169" spans="42:54">
      <c r="AP169" s="1035" t="str">
        <f>IF(예산실적비교표!AL169&lt;&gt;"",예산실적비교표!AL169,"")</f>
        <v/>
      </c>
      <c r="AQ169" s="1036" t="str">
        <f>IF(예산실적비교표!AM169&lt;&gt;"",예산실적비교표!AM169,"")</f>
        <v/>
      </c>
      <c r="AR169" s="1037">
        <f>IF(AND(예산실적비교표!AN169&lt;&gt;"",예산실적비교표!AN169&gt;1),예산실적비교표!AN169,0)</f>
        <v>0</v>
      </c>
      <c r="AS169" s="1038">
        <f>IF(예산실적비교표!AO169&lt;&gt;"",예산실적비교표!AO169,0)</f>
        <v>0</v>
      </c>
      <c r="AT169" s="971">
        <f t="shared" si="32"/>
        <v>0</v>
      </c>
      <c r="AU169" s="1039">
        <f>IF(예산실적비교표!AQ169&lt;&gt;"",예산실적비교표!AQ169,0)</f>
        <v>0</v>
      </c>
      <c r="AV169" s="973">
        <f t="shared" si="33"/>
        <v>0</v>
      </c>
      <c r="AW169" s="974">
        <f>IF(AR169="",0,ROUND((AT169*$AT$7)*데이터입력!$AF$14+(AT169*$AU$7)*데이터입력!$AF$14+(AT169*$AU$7*$AV$7)*데이터입력!$AF$14+(AT169*$AW$7)*데이터입력!$AF$14+(AT169*$AX$7)*데이터입력!$AF$14,-1))</f>
        <v>0</v>
      </c>
      <c r="AX169" s="975">
        <f t="shared" si="34"/>
        <v>0</v>
      </c>
      <c r="AY169" s="976">
        <f>IFERROR(IF($AE$2=TRUE,IF(AR169+AS169=0,0,AR169+AS169),ROUND(IF(데이터입력!$AF$14=100%,ROUND(AR169*$AR$1,-3),ROUND(AR169*$AR$1,-3)-ROUND(((AR169*$AR$1)*$AT$4)*(데이터입력!$AF$14-100%)+((AR169*$AR$1)*$AU$4)*(데이터입력!$AF$14-100%)+((AR169*$AR$1)*$AU$4*$AV$4)*(데이터입력!$AF$14-100%)+((AR169*$AR$1)*$AW$4)*(데이터입력!$AF$14-100%),-1)),0)),0)</f>
        <v>0</v>
      </c>
      <c r="AZ169" s="977">
        <f>IFERROR(IF(AR169+AS169=0,0,IF(데이터입력!$AF$12=100%,(AT169),(AT169)+ROUND(AT169*(데이터입력!$AF$12-100%),-1))),0)</f>
        <v>0</v>
      </c>
      <c r="BA169" s="1097" t="str">
        <f>IFERROR(IF(AZ169=0,"",IF(AND(예산실적비교표!AP169&gt;0,예산실적비교표!AW169=0),"",ROUND(AZ169/12,0))),"")</f>
        <v/>
      </c>
      <c r="BB169" s="1096" t="str">
        <f>IF(BA169="","",IF(데이터입력!$O$70="",ROUND(AZ169/12,0),ROUND(데이터입력!$O$70/데이터입력!$Y$8/$BC$63,0)))</f>
        <v/>
      </c>
    </row>
    <row r="170" spans="42:54">
      <c r="AP170" s="1035" t="str">
        <f>IF(예산실적비교표!AL170&lt;&gt;"",예산실적비교표!AL170,"")</f>
        <v/>
      </c>
      <c r="AQ170" s="1036" t="str">
        <f>IF(예산실적비교표!AM170&lt;&gt;"",예산실적비교표!AM170,"")</f>
        <v/>
      </c>
      <c r="AR170" s="1037">
        <f>IF(AND(예산실적비교표!AN170&lt;&gt;"",예산실적비교표!AN170&gt;1),예산실적비교표!AN170,0)</f>
        <v>0</v>
      </c>
      <c r="AS170" s="1038">
        <f>IF(예산실적비교표!AO170&lt;&gt;"",예산실적비교표!AO170,0)</f>
        <v>0</v>
      </c>
      <c r="AT170" s="971">
        <f t="shared" si="32"/>
        <v>0</v>
      </c>
      <c r="AU170" s="1039">
        <f>IF(예산실적비교표!AQ170&lt;&gt;"",예산실적비교표!AQ170,0)</f>
        <v>0</v>
      </c>
      <c r="AV170" s="973">
        <f t="shared" si="33"/>
        <v>0</v>
      </c>
      <c r="AW170" s="974">
        <f>IF(AR170="",0,ROUND((AT170*$AT$7)*데이터입력!$AF$14+(AT170*$AU$7)*데이터입력!$AF$14+(AT170*$AU$7*$AV$7)*데이터입력!$AF$14+(AT170*$AW$7)*데이터입력!$AF$14+(AT170*$AX$7)*데이터입력!$AF$14,-1))</f>
        <v>0</v>
      </c>
      <c r="AX170" s="975">
        <f t="shared" si="34"/>
        <v>0</v>
      </c>
      <c r="AY170" s="976">
        <f>IFERROR(IF($AE$2=TRUE,IF(AR170+AS170=0,0,AR170+AS170),ROUND(IF(데이터입력!$AF$14=100%,ROUND(AR170*$AR$1,-3),ROUND(AR170*$AR$1,-3)-ROUND(((AR170*$AR$1)*$AT$4)*(데이터입력!$AF$14-100%)+((AR170*$AR$1)*$AU$4)*(데이터입력!$AF$14-100%)+((AR170*$AR$1)*$AU$4*$AV$4)*(데이터입력!$AF$14-100%)+((AR170*$AR$1)*$AW$4)*(데이터입력!$AF$14-100%),-1)),0)),0)</f>
        <v>0</v>
      </c>
      <c r="AZ170" s="977">
        <f>IFERROR(IF(AR170+AS170=0,0,IF(데이터입력!$AF$12=100%,(AT170),(AT170)+ROUND(AT170*(데이터입력!$AF$12-100%),-1))),0)</f>
        <v>0</v>
      </c>
      <c r="BA170" s="1097" t="str">
        <f>IFERROR(IF(AZ170=0,"",IF(AND(예산실적비교표!AP170&gt;0,예산실적비교표!AW170=0),"",ROUND(AZ170/12,0))),"")</f>
        <v/>
      </c>
      <c r="BB170" s="1096" t="str">
        <f>IF(BA170="","",IF(데이터입력!$O$70="",ROUND(AZ170/12,0),ROUND(데이터입력!$O$70/데이터입력!$Y$8/$BC$63,0)))</f>
        <v/>
      </c>
    </row>
    <row r="171" spans="42:54">
      <c r="AP171" s="1035" t="str">
        <f>IF(예산실적비교표!AL171&lt;&gt;"",예산실적비교표!AL171,"")</f>
        <v/>
      </c>
      <c r="AQ171" s="1036" t="str">
        <f>IF(예산실적비교표!AM171&lt;&gt;"",예산실적비교표!AM171,"")</f>
        <v/>
      </c>
      <c r="AR171" s="1037">
        <f>IF(AND(예산실적비교표!AN171&lt;&gt;"",예산실적비교표!AN171&gt;1),예산실적비교표!AN171,0)</f>
        <v>0</v>
      </c>
      <c r="AS171" s="1038">
        <f>IF(예산실적비교표!AO171&lt;&gt;"",예산실적비교표!AO171,0)</f>
        <v>0</v>
      </c>
      <c r="AT171" s="971">
        <f t="shared" si="32"/>
        <v>0</v>
      </c>
      <c r="AU171" s="1039">
        <f>IF(예산실적비교표!AQ171&lt;&gt;"",예산실적비교표!AQ171,0)</f>
        <v>0</v>
      </c>
      <c r="AV171" s="973">
        <f t="shared" si="33"/>
        <v>0</v>
      </c>
      <c r="AW171" s="974">
        <f>IF(AR171="",0,ROUND((AT171*$AT$7)*데이터입력!$AF$14+(AT171*$AU$7)*데이터입력!$AF$14+(AT171*$AU$7*$AV$7)*데이터입력!$AF$14+(AT171*$AW$7)*데이터입력!$AF$14+(AT171*$AX$7)*데이터입력!$AF$14,-1))</f>
        <v>0</v>
      </c>
      <c r="AX171" s="975">
        <f t="shared" si="34"/>
        <v>0</v>
      </c>
      <c r="AY171" s="976">
        <f>IFERROR(IF($AE$2=TRUE,IF(AR171+AS171=0,0,AR171+AS171),ROUND(IF(데이터입력!$AF$14=100%,ROUND(AR171*$AR$1,-3),ROUND(AR171*$AR$1,-3)-ROUND(((AR171*$AR$1)*$AT$4)*(데이터입력!$AF$14-100%)+((AR171*$AR$1)*$AU$4)*(데이터입력!$AF$14-100%)+((AR171*$AR$1)*$AU$4*$AV$4)*(데이터입력!$AF$14-100%)+((AR171*$AR$1)*$AW$4)*(데이터입력!$AF$14-100%),-1)),0)),0)</f>
        <v>0</v>
      </c>
      <c r="AZ171" s="977">
        <f>IFERROR(IF(AR171+AS171=0,0,IF(데이터입력!$AF$12=100%,(AT171),(AT171)+ROUND(AT171*(데이터입력!$AF$12-100%),-1))),0)</f>
        <v>0</v>
      </c>
      <c r="BA171" s="1097" t="str">
        <f>IFERROR(IF(AZ171=0,"",IF(AND(예산실적비교표!AP171&gt;0,예산실적비교표!AW171=0),"",ROUND(AZ171/12,0))),"")</f>
        <v/>
      </c>
      <c r="BB171" s="1096" t="str">
        <f>IF(BA171="","",IF(데이터입력!$O$70="",ROUND(AZ171/12,0),ROUND(데이터입력!$O$70/데이터입력!$Y$8/$BC$63,0)))</f>
        <v/>
      </c>
    </row>
    <row r="172" spans="42:54">
      <c r="AP172" s="1035" t="str">
        <f>IF(예산실적비교표!AL172&lt;&gt;"",예산실적비교표!AL172,"")</f>
        <v/>
      </c>
      <c r="AQ172" s="1036" t="str">
        <f>IF(예산실적비교표!AM172&lt;&gt;"",예산실적비교표!AM172,"")</f>
        <v/>
      </c>
      <c r="AR172" s="1037">
        <f>IF(AND(예산실적비교표!AN172&lt;&gt;"",예산실적비교표!AN172&gt;1),예산실적비교표!AN172,0)</f>
        <v>0</v>
      </c>
      <c r="AS172" s="1038">
        <f>IF(예산실적비교표!AO172&lt;&gt;"",예산실적비교표!AO172,0)</f>
        <v>0</v>
      </c>
      <c r="AT172" s="971">
        <f t="shared" si="32"/>
        <v>0</v>
      </c>
      <c r="AU172" s="1039">
        <f>IF(예산실적비교표!AQ172&lt;&gt;"",예산실적비교표!AQ172,0)</f>
        <v>0</v>
      </c>
      <c r="AV172" s="973">
        <f t="shared" si="33"/>
        <v>0</v>
      </c>
      <c r="AW172" s="974">
        <f>IF(AR172="",0,ROUND((AT172*$AT$7)*데이터입력!$AF$14+(AT172*$AU$7)*데이터입력!$AF$14+(AT172*$AU$7*$AV$7)*데이터입력!$AF$14+(AT172*$AW$7)*데이터입력!$AF$14+(AT172*$AX$7)*데이터입력!$AF$14,-1))</f>
        <v>0</v>
      </c>
      <c r="AX172" s="975">
        <f t="shared" si="34"/>
        <v>0</v>
      </c>
      <c r="AY172" s="976">
        <f>IFERROR(IF($AE$2=TRUE,IF(AR172+AS172=0,0,AR172+AS172),ROUND(IF(데이터입력!$AF$14=100%,ROUND(AR172*$AR$1,-3),ROUND(AR172*$AR$1,-3)-ROUND(((AR172*$AR$1)*$AT$4)*(데이터입력!$AF$14-100%)+((AR172*$AR$1)*$AU$4)*(데이터입력!$AF$14-100%)+((AR172*$AR$1)*$AU$4*$AV$4)*(데이터입력!$AF$14-100%)+((AR172*$AR$1)*$AW$4)*(데이터입력!$AF$14-100%),-1)),0)),0)</f>
        <v>0</v>
      </c>
      <c r="AZ172" s="977">
        <f>IFERROR(IF(AR172+AS172=0,0,IF(데이터입력!$AF$12=100%,(AT172),(AT172)+ROUND(AT172*(데이터입력!$AF$12-100%),-1))),0)</f>
        <v>0</v>
      </c>
      <c r="BA172" s="1097" t="str">
        <f>IFERROR(IF(AZ172=0,"",IF(AND(예산실적비교표!AP172&gt;0,예산실적비교표!AW172=0),"",ROUND(AZ172/12,0))),"")</f>
        <v/>
      </c>
      <c r="BB172" s="1096" t="str">
        <f>IF(BA172="","",IF(데이터입력!$O$70="",ROUND(AZ172/12,0),ROUND(데이터입력!$O$70/데이터입력!$Y$8/$BC$63,0)))</f>
        <v/>
      </c>
    </row>
    <row r="173" spans="42:54">
      <c r="AP173" s="1035" t="str">
        <f>IF(예산실적비교표!AL173&lt;&gt;"",예산실적비교표!AL173,"")</f>
        <v/>
      </c>
      <c r="AQ173" s="1036" t="str">
        <f>IF(예산실적비교표!AM173&lt;&gt;"",예산실적비교표!AM173,"")</f>
        <v/>
      </c>
      <c r="AR173" s="1037">
        <f>IF(AND(예산실적비교표!AN173&lt;&gt;"",예산실적비교표!AN173&gt;1),예산실적비교표!AN173,0)</f>
        <v>0</v>
      </c>
      <c r="AS173" s="1038">
        <f>IF(예산실적비교표!AO173&lt;&gt;"",예산실적비교표!AO173,0)</f>
        <v>0</v>
      </c>
      <c r="AT173" s="971">
        <f t="shared" si="32"/>
        <v>0</v>
      </c>
      <c r="AU173" s="1039">
        <f>IF(예산실적비교표!AQ173&lt;&gt;"",예산실적비교표!AQ173,0)</f>
        <v>0</v>
      </c>
      <c r="AV173" s="973">
        <f t="shared" si="33"/>
        <v>0</v>
      </c>
      <c r="AW173" s="974">
        <f>IF(AR173="",0,ROUND((AT173*$AT$7)*데이터입력!$AF$14+(AT173*$AU$7)*데이터입력!$AF$14+(AT173*$AU$7*$AV$7)*데이터입력!$AF$14+(AT173*$AW$7)*데이터입력!$AF$14+(AT173*$AX$7)*데이터입력!$AF$14,-1))</f>
        <v>0</v>
      </c>
      <c r="AX173" s="975">
        <f t="shared" si="34"/>
        <v>0</v>
      </c>
      <c r="AY173" s="976">
        <f>IFERROR(IF($AE$2=TRUE,IF(AR173+AS173=0,0,AR173+AS173),ROUND(IF(데이터입력!$AF$14=100%,ROUND(AR173*$AR$1,-3),ROUND(AR173*$AR$1,-3)-ROUND(((AR173*$AR$1)*$AT$4)*(데이터입력!$AF$14-100%)+((AR173*$AR$1)*$AU$4)*(데이터입력!$AF$14-100%)+((AR173*$AR$1)*$AU$4*$AV$4)*(데이터입력!$AF$14-100%)+((AR173*$AR$1)*$AW$4)*(데이터입력!$AF$14-100%),-1)),0)),0)</f>
        <v>0</v>
      </c>
      <c r="AZ173" s="977">
        <f>IFERROR(IF(AR173+AS173=0,0,IF(데이터입력!$AF$12=100%,(AT173),(AT173)+ROUND(AT173*(데이터입력!$AF$12-100%),-1))),0)</f>
        <v>0</v>
      </c>
      <c r="BA173" s="1097" t="str">
        <f>IFERROR(IF(AZ173=0,"",IF(AND(예산실적비교표!AP173&gt;0,예산실적비교표!AW173=0),"",ROUND(AZ173/12,0))),"")</f>
        <v/>
      </c>
      <c r="BB173" s="1096" t="str">
        <f>IF(BA173="","",IF(데이터입력!$O$70="",ROUND(AZ173/12,0),ROUND(데이터입력!$O$70/데이터입력!$Y$8/$BC$63,0)))</f>
        <v/>
      </c>
    </row>
    <row r="174" spans="42:54">
      <c r="AP174" s="1035" t="str">
        <f>IF(예산실적비교표!AL174&lt;&gt;"",예산실적비교표!AL174,"")</f>
        <v/>
      </c>
      <c r="AQ174" s="1036" t="str">
        <f>IF(예산실적비교표!AM174&lt;&gt;"",예산실적비교표!AM174,"")</f>
        <v/>
      </c>
      <c r="AR174" s="1037">
        <f>IF(AND(예산실적비교표!AN174&lt;&gt;"",예산실적비교표!AN174&gt;1),예산실적비교표!AN174,0)</f>
        <v>0</v>
      </c>
      <c r="AS174" s="1038">
        <f>IF(예산실적비교표!AO174&lt;&gt;"",예산실적비교표!AO174,0)</f>
        <v>0</v>
      </c>
      <c r="AT174" s="971">
        <f t="shared" si="32"/>
        <v>0</v>
      </c>
      <c r="AU174" s="1039">
        <f>IF(예산실적비교표!AQ174&lt;&gt;"",예산실적비교표!AQ174,0)</f>
        <v>0</v>
      </c>
      <c r="AV174" s="973">
        <f t="shared" si="33"/>
        <v>0</v>
      </c>
      <c r="AW174" s="974">
        <f>IF(AR174="",0,ROUND((AT174*$AT$7)*데이터입력!$AF$14+(AT174*$AU$7)*데이터입력!$AF$14+(AT174*$AU$7*$AV$7)*데이터입력!$AF$14+(AT174*$AW$7)*데이터입력!$AF$14+(AT174*$AX$7)*데이터입력!$AF$14,-1))</f>
        <v>0</v>
      </c>
      <c r="AX174" s="975">
        <f t="shared" si="34"/>
        <v>0</v>
      </c>
      <c r="AY174" s="976">
        <f>IFERROR(IF($AE$2=TRUE,IF(AR174+AS174=0,0,AR174+AS174),ROUND(IF(데이터입력!$AF$14=100%,ROUND(AR174*$AR$1,-3),ROUND(AR174*$AR$1,-3)-ROUND(((AR174*$AR$1)*$AT$4)*(데이터입력!$AF$14-100%)+((AR174*$AR$1)*$AU$4)*(데이터입력!$AF$14-100%)+((AR174*$AR$1)*$AU$4*$AV$4)*(데이터입력!$AF$14-100%)+((AR174*$AR$1)*$AW$4)*(데이터입력!$AF$14-100%),-1)),0)),0)</f>
        <v>0</v>
      </c>
      <c r="AZ174" s="977">
        <f>IFERROR(IF(AR174+AS174=0,0,IF(데이터입력!$AF$12=100%,(AT174),(AT174)+ROUND(AT174*(데이터입력!$AF$12-100%),-1))),0)</f>
        <v>0</v>
      </c>
      <c r="BA174" s="1097" t="str">
        <f>IFERROR(IF(AZ174=0,"",IF(AND(예산실적비교표!AP174&gt;0,예산실적비교표!AW174=0),"",ROUND(AZ174/12,0))),"")</f>
        <v/>
      </c>
      <c r="BB174" s="1096" t="str">
        <f>IF(BA174="","",IF(데이터입력!$O$70="",ROUND(AZ174/12,0),ROUND(데이터입력!$O$70/데이터입력!$Y$8/$BC$63,0)))</f>
        <v/>
      </c>
    </row>
    <row r="175" spans="42:54">
      <c r="AP175" s="1035" t="str">
        <f>IF(예산실적비교표!AL175&lt;&gt;"",예산실적비교표!AL175,"")</f>
        <v/>
      </c>
      <c r="AQ175" s="1036" t="str">
        <f>IF(예산실적비교표!AM175&lt;&gt;"",예산실적비교표!AM175,"")</f>
        <v/>
      </c>
      <c r="AR175" s="1037">
        <f>IF(AND(예산실적비교표!AN175&lt;&gt;"",예산실적비교표!AN175&gt;1),예산실적비교표!AN175,0)</f>
        <v>0</v>
      </c>
      <c r="AS175" s="1038">
        <f>IF(예산실적비교표!AO175&lt;&gt;"",예산실적비교표!AO175,0)</f>
        <v>0</v>
      </c>
      <c r="AT175" s="971">
        <f t="shared" si="32"/>
        <v>0</v>
      </c>
      <c r="AU175" s="1039">
        <f>IF(예산실적비교표!AQ175&lt;&gt;"",예산실적비교표!AQ175,0)</f>
        <v>0</v>
      </c>
      <c r="AV175" s="973">
        <f t="shared" si="33"/>
        <v>0</v>
      </c>
      <c r="AW175" s="974">
        <f>IF(AR175="",0,ROUND((AT175*$AT$7)*데이터입력!$AF$14+(AT175*$AU$7)*데이터입력!$AF$14+(AT175*$AU$7*$AV$7)*데이터입력!$AF$14+(AT175*$AW$7)*데이터입력!$AF$14+(AT175*$AX$7)*데이터입력!$AF$14,-1))</f>
        <v>0</v>
      </c>
      <c r="AX175" s="975">
        <f t="shared" si="34"/>
        <v>0</v>
      </c>
      <c r="AY175" s="976">
        <f>IFERROR(IF($AE$2=TRUE,IF(AR175+AS175=0,0,AR175+AS175),ROUND(IF(데이터입력!$AF$14=100%,ROUND(AR175*$AR$1,-3),ROUND(AR175*$AR$1,-3)-ROUND(((AR175*$AR$1)*$AT$4)*(데이터입력!$AF$14-100%)+((AR175*$AR$1)*$AU$4)*(데이터입력!$AF$14-100%)+((AR175*$AR$1)*$AU$4*$AV$4)*(데이터입력!$AF$14-100%)+((AR175*$AR$1)*$AW$4)*(데이터입력!$AF$14-100%),-1)),0)),0)</f>
        <v>0</v>
      </c>
      <c r="AZ175" s="977">
        <f>IFERROR(IF(AR175+AS175=0,0,IF(데이터입력!$AF$12=100%,(AT175),(AT175)+ROUND(AT175*(데이터입력!$AF$12-100%),-1))),0)</f>
        <v>0</v>
      </c>
      <c r="BA175" s="1097" t="str">
        <f>IFERROR(IF(AZ175=0,"",IF(AND(예산실적비교표!AP175&gt;0,예산실적비교표!AW175=0),"",ROUND(AZ175/12,0))),"")</f>
        <v/>
      </c>
      <c r="BB175" s="1096" t="str">
        <f>IF(BA175="","",IF(데이터입력!$O$70="",ROUND(AZ175/12,0),ROUND(데이터입력!$O$70/데이터입력!$Y$8/$BC$63,0)))</f>
        <v/>
      </c>
    </row>
    <row r="176" spans="42:54">
      <c r="AP176" s="1035" t="str">
        <f>IF(예산실적비교표!AL176&lt;&gt;"",예산실적비교표!AL176,"")</f>
        <v/>
      </c>
      <c r="AQ176" s="1036" t="str">
        <f>IF(예산실적비교표!AM176&lt;&gt;"",예산실적비교표!AM176,"")</f>
        <v/>
      </c>
      <c r="AR176" s="1037">
        <f>IF(AND(예산실적비교표!AN176&lt;&gt;"",예산실적비교표!AN176&gt;1),예산실적비교표!AN176,0)</f>
        <v>0</v>
      </c>
      <c r="AS176" s="1038">
        <f>IF(예산실적비교표!AO176&lt;&gt;"",예산실적비교표!AO176,0)</f>
        <v>0</v>
      </c>
      <c r="AT176" s="971">
        <f t="shared" si="32"/>
        <v>0</v>
      </c>
      <c r="AU176" s="1039">
        <f>IF(예산실적비교표!AQ176&lt;&gt;"",예산실적비교표!AQ176,0)</f>
        <v>0</v>
      </c>
      <c r="AV176" s="973">
        <f t="shared" si="33"/>
        <v>0</v>
      </c>
      <c r="AW176" s="974">
        <f>IF(AR176="",0,ROUND((AT176*$AT$7)*데이터입력!$AF$14+(AT176*$AU$7)*데이터입력!$AF$14+(AT176*$AU$7*$AV$7)*데이터입력!$AF$14+(AT176*$AW$7)*데이터입력!$AF$14+(AT176*$AX$7)*데이터입력!$AF$14,-1))</f>
        <v>0</v>
      </c>
      <c r="AX176" s="975">
        <f t="shared" si="34"/>
        <v>0</v>
      </c>
      <c r="AY176" s="976">
        <f>IFERROR(IF($AE$2=TRUE,IF(AR176+AS176=0,0,AR176+AS176),ROUND(IF(데이터입력!$AF$14=100%,ROUND(AR176*$AR$1,-3),ROUND(AR176*$AR$1,-3)-ROUND(((AR176*$AR$1)*$AT$4)*(데이터입력!$AF$14-100%)+((AR176*$AR$1)*$AU$4)*(데이터입력!$AF$14-100%)+((AR176*$AR$1)*$AU$4*$AV$4)*(데이터입력!$AF$14-100%)+((AR176*$AR$1)*$AW$4)*(데이터입력!$AF$14-100%),-1)),0)),0)</f>
        <v>0</v>
      </c>
      <c r="AZ176" s="977">
        <f>IFERROR(IF(AR176+AS176=0,0,IF(데이터입력!$AF$12=100%,(AT176),(AT176)+ROUND(AT176*(데이터입력!$AF$12-100%),-1))),0)</f>
        <v>0</v>
      </c>
      <c r="BA176" s="1097" t="str">
        <f>IFERROR(IF(AZ176=0,"",IF(AND(예산실적비교표!AP176&gt;0,예산실적비교표!AW176=0),"",ROUND(AZ176/12,0))),"")</f>
        <v/>
      </c>
      <c r="BB176" s="1096" t="str">
        <f>IF(BA176="","",IF(데이터입력!$O$70="",ROUND(AZ176/12,0),ROUND(데이터입력!$O$70/데이터입력!$Y$8/$BC$63,0)))</f>
        <v/>
      </c>
    </row>
    <row r="177" spans="42:54">
      <c r="AP177" s="1035" t="str">
        <f>IF(예산실적비교표!AL177&lt;&gt;"",예산실적비교표!AL177,"")</f>
        <v/>
      </c>
      <c r="AQ177" s="1036" t="str">
        <f>IF(예산실적비교표!AM177&lt;&gt;"",예산실적비교표!AM177,"")</f>
        <v/>
      </c>
      <c r="AR177" s="1037">
        <f>IF(AND(예산실적비교표!AN177&lt;&gt;"",예산실적비교표!AN177&gt;1),예산실적비교표!AN177,0)</f>
        <v>0</v>
      </c>
      <c r="AS177" s="1038">
        <f>IF(예산실적비교표!AO177&lt;&gt;"",예산실적비교표!AO177,0)</f>
        <v>0</v>
      </c>
      <c r="AT177" s="971">
        <f t="shared" si="32"/>
        <v>0</v>
      </c>
      <c r="AU177" s="1039">
        <f>IF(예산실적비교표!AQ177&lt;&gt;"",예산실적비교표!AQ177,0)</f>
        <v>0</v>
      </c>
      <c r="AV177" s="973">
        <f t="shared" si="33"/>
        <v>0</v>
      </c>
      <c r="AW177" s="974">
        <f>IF(AR177="",0,ROUND((AT177*$AT$7)*데이터입력!$AF$14+(AT177*$AU$7)*데이터입력!$AF$14+(AT177*$AU$7*$AV$7)*데이터입력!$AF$14+(AT177*$AW$7)*데이터입력!$AF$14+(AT177*$AX$7)*데이터입력!$AF$14,-1))</f>
        <v>0</v>
      </c>
      <c r="AX177" s="975">
        <f t="shared" si="34"/>
        <v>0</v>
      </c>
      <c r="AY177" s="976">
        <f>IFERROR(IF($AE$2=TRUE,IF(AR177+AS177=0,0,AR177+AS177),ROUND(IF(데이터입력!$AF$14=100%,ROUND(AR177*$AR$1,-3),ROUND(AR177*$AR$1,-3)-ROUND(((AR177*$AR$1)*$AT$4)*(데이터입력!$AF$14-100%)+((AR177*$AR$1)*$AU$4)*(데이터입력!$AF$14-100%)+((AR177*$AR$1)*$AU$4*$AV$4)*(데이터입력!$AF$14-100%)+((AR177*$AR$1)*$AW$4)*(데이터입력!$AF$14-100%),-1)),0)),0)</f>
        <v>0</v>
      </c>
      <c r="AZ177" s="977">
        <f>IFERROR(IF(AR177+AS177=0,0,IF(데이터입력!$AF$12=100%,(AT177),(AT177)+ROUND(AT177*(데이터입력!$AF$12-100%),-1))),0)</f>
        <v>0</v>
      </c>
      <c r="BA177" s="1097" t="str">
        <f>IFERROR(IF(AZ177=0,"",IF(AND(예산실적비교표!AP177&gt;0,예산실적비교표!AW177=0),"",ROUND(AZ177/12,0))),"")</f>
        <v/>
      </c>
      <c r="BB177" s="1096" t="str">
        <f>IF(BA177="","",IF(데이터입력!$O$70="",ROUND(AZ177/12,0),ROUND(데이터입력!$O$70/데이터입력!$Y$8/$BC$63,0)))</f>
        <v/>
      </c>
    </row>
    <row r="178" spans="42:54">
      <c r="AP178" s="1035" t="str">
        <f>IF(예산실적비교표!AL178&lt;&gt;"",예산실적비교표!AL178,"")</f>
        <v/>
      </c>
      <c r="AQ178" s="1036" t="str">
        <f>IF(예산실적비교표!AM178&lt;&gt;"",예산실적비교표!AM178,"")</f>
        <v/>
      </c>
      <c r="AR178" s="1037">
        <f>IF(AND(예산실적비교표!AN178&lt;&gt;"",예산실적비교표!AN178&gt;1),예산실적비교표!AN178,0)</f>
        <v>0</v>
      </c>
      <c r="AS178" s="1038">
        <f>IF(예산실적비교표!AO178&lt;&gt;"",예산실적비교표!AO178,0)</f>
        <v>0</v>
      </c>
      <c r="AT178" s="971">
        <f t="shared" si="32"/>
        <v>0</v>
      </c>
      <c r="AU178" s="1039">
        <f>IF(예산실적비교표!AQ178&lt;&gt;"",예산실적비교표!AQ178,0)</f>
        <v>0</v>
      </c>
      <c r="AV178" s="973">
        <f t="shared" si="33"/>
        <v>0</v>
      </c>
      <c r="AW178" s="974">
        <f>IF(AR178="",0,ROUND((AT178*$AT$7)*데이터입력!$AF$14+(AT178*$AU$7)*데이터입력!$AF$14+(AT178*$AU$7*$AV$7)*데이터입력!$AF$14+(AT178*$AW$7)*데이터입력!$AF$14+(AT178*$AX$7)*데이터입력!$AF$14,-1))</f>
        <v>0</v>
      </c>
      <c r="AX178" s="975">
        <f t="shared" si="34"/>
        <v>0</v>
      </c>
      <c r="AY178" s="976">
        <f>IFERROR(IF($AE$2=TRUE,IF(AR178+AS178=0,0,AR178+AS178),ROUND(IF(데이터입력!$AF$14=100%,ROUND(AR178*$AR$1,-3),ROUND(AR178*$AR$1,-3)-ROUND(((AR178*$AR$1)*$AT$4)*(데이터입력!$AF$14-100%)+((AR178*$AR$1)*$AU$4)*(데이터입력!$AF$14-100%)+((AR178*$AR$1)*$AU$4*$AV$4)*(데이터입력!$AF$14-100%)+((AR178*$AR$1)*$AW$4)*(데이터입력!$AF$14-100%),-1)),0)),0)</f>
        <v>0</v>
      </c>
      <c r="AZ178" s="977">
        <f>IFERROR(IF(AR178+AS178=0,0,IF(데이터입력!$AF$12=100%,(AT178),(AT178)+ROUND(AT178*(데이터입력!$AF$12-100%),-1))),0)</f>
        <v>0</v>
      </c>
      <c r="BA178" s="1097" t="str">
        <f>IFERROR(IF(AZ178=0,"",IF(AND(예산실적비교표!AP178&gt;0,예산실적비교표!AW178=0),"",ROUND(AZ178/12,0))),"")</f>
        <v/>
      </c>
      <c r="BB178" s="1096" t="str">
        <f>IF(BA178="","",IF(데이터입력!$O$70="",ROUND(AZ178/12,0),ROUND(데이터입력!$O$70/데이터입력!$Y$8/$BC$63,0)))</f>
        <v/>
      </c>
    </row>
    <row r="179" spans="42:54">
      <c r="AP179" s="1035" t="str">
        <f>IF(예산실적비교표!AL179&lt;&gt;"",예산실적비교표!AL179,"")</f>
        <v/>
      </c>
      <c r="AQ179" s="1036" t="str">
        <f>IF(예산실적비교표!AM179&lt;&gt;"",예산실적비교표!AM179,"")</f>
        <v/>
      </c>
      <c r="AR179" s="1037">
        <f>IF(AND(예산실적비교표!AN179&lt;&gt;"",예산실적비교표!AN179&gt;1),예산실적비교표!AN179,0)</f>
        <v>0</v>
      </c>
      <c r="AS179" s="1038">
        <f>IF(예산실적비교표!AO179&lt;&gt;"",예산실적비교표!AO179,0)</f>
        <v>0</v>
      </c>
      <c r="AT179" s="971">
        <f t="shared" si="32"/>
        <v>0</v>
      </c>
      <c r="AU179" s="1039">
        <f>IF(예산실적비교표!AQ179&lt;&gt;"",예산실적비교표!AQ179,0)</f>
        <v>0</v>
      </c>
      <c r="AV179" s="973">
        <f t="shared" si="33"/>
        <v>0</v>
      </c>
      <c r="AW179" s="974">
        <f>IF(AR179="",0,ROUND((AT179*$AT$7)*데이터입력!$AF$14+(AT179*$AU$7)*데이터입력!$AF$14+(AT179*$AU$7*$AV$7)*데이터입력!$AF$14+(AT179*$AW$7)*데이터입력!$AF$14+(AT179*$AX$7)*데이터입력!$AF$14,-1))</f>
        <v>0</v>
      </c>
      <c r="AX179" s="975">
        <f t="shared" si="34"/>
        <v>0</v>
      </c>
      <c r="AY179" s="976">
        <f>IFERROR(IF($AE$2=TRUE,IF(AR179+AS179=0,0,AR179+AS179),ROUND(IF(데이터입력!$AF$14=100%,ROUND(AR179*$AR$1,-3),ROUND(AR179*$AR$1,-3)-ROUND(((AR179*$AR$1)*$AT$4)*(데이터입력!$AF$14-100%)+((AR179*$AR$1)*$AU$4)*(데이터입력!$AF$14-100%)+((AR179*$AR$1)*$AU$4*$AV$4)*(데이터입력!$AF$14-100%)+((AR179*$AR$1)*$AW$4)*(데이터입력!$AF$14-100%),-1)),0)),0)</f>
        <v>0</v>
      </c>
      <c r="AZ179" s="977">
        <f>IFERROR(IF(AR179+AS179=0,0,IF(데이터입력!$AF$12=100%,(AT179),(AT179)+ROUND(AT179*(데이터입력!$AF$12-100%),-1))),0)</f>
        <v>0</v>
      </c>
      <c r="BA179" s="1097" t="str">
        <f>IFERROR(IF(AZ179=0,"",IF(AND(예산실적비교표!AP179&gt;0,예산실적비교표!AW179=0),"",ROUND(AZ179/12,0))),"")</f>
        <v/>
      </c>
      <c r="BB179" s="1096" t="str">
        <f>IF(BA179="","",IF(데이터입력!$O$70="",ROUND(AZ179/12,0),ROUND(데이터입력!$O$70/데이터입력!$Y$8/$BC$63,0)))</f>
        <v/>
      </c>
    </row>
    <row r="180" spans="42:54">
      <c r="AP180" s="1035" t="str">
        <f>IF(예산실적비교표!AL180&lt;&gt;"",예산실적비교표!AL180,"")</f>
        <v/>
      </c>
      <c r="AQ180" s="1036" t="str">
        <f>IF(예산실적비교표!AM180&lt;&gt;"",예산실적비교표!AM180,"")</f>
        <v/>
      </c>
      <c r="AR180" s="1037">
        <f>IF(AND(예산실적비교표!AN180&lt;&gt;"",예산실적비교표!AN180&gt;1),예산실적비교표!AN180,0)</f>
        <v>0</v>
      </c>
      <c r="AS180" s="1038">
        <f>IF(예산실적비교표!AO180&lt;&gt;"",예산실적비교표!AO180,0)</f>
        <v>0</v>
      </c>
      <c r="AT180" s="971">
        <f t="shared" si="32"/>
        <v>0</v>
      </c>
      <c r="AU180" s="1039">
        <f>IF(예산실적비교표!AQ180&lt;&gt;"",예산실적비교표!AQ180,0)</f>
        <v>0</v>
      </c>
      <c r="AV180" s="973">
        <f t="shared" si="33"/>
        <v>0</v>
      </c>
      <c r="AW180" s="974">
        <f>IF(AR180="",0,ROUND((AT180*$AT$7)*데이터입력!$AF$14+(AT180*$AU$7)*데이터입력!$AF$14+(AT180*$AU$7*$AV$7)*데이터입력!$AF$14+(AT180*$AW$7)*데이터입력!$AF$14+(AT180*$AX$7)*데이터입력!$AF$14,-1))</f>
        <v>0</v>
      </c>
      <c r="AX180" s="975">
        <f t="shared" si="34"/>
        <v>0</v>
      </c>
      <c r="AY180" s="976">
        <f>IFERROR(IF($AE$2=TRUE,IF(AR180+AS180=0,0,AR180+AS180),ROUND(IF(데이터입력!$AF$14=100%,ROUND(AR180*$AR$1,-3),ROUND(AR180*$AR$1,-3)-ROUND(((AR180*$AR$1)*$AT$4)*(데이터입력!$AF$14-100%)+((AR180*$AR$1)*$AU$4)*(데이터입력!$AF$14-100%)+((AR180*$AR$1)*$AU$4*$AV$4)*(데이터입력!$AF$14-100%)+((AR180*$AR$1)*$AW$4)*(데이터입력!$AF$14-100%),-1)),0)),0)</f>
        <v>0</v>
      </c>
      <c r="AZ180" s="977">
        <f>IFERROR(IF(AR180+AS180=0,0,IF(데이터입력!$AF$12=100%,(AT180),(AT180)+ROUND(AT180*(데이터입력!$AF$12-100%),-1))),0)</f>
        <v>0</v>
      </c>
      <c r="BA180" s="1097" t="str">
        <f>IFERROR(IF(AZ180=0,"",IF(AND(예산실적비교표!AP180&gt;0,예산실적비교표!AW180=0),"",ROUND(AZ180/12,0))),"")</f>
        <v/>
      </c>
      <c r="BB180" s="1096" t="str">
        <f>IF(BA180="","",IF(데이터입력!$O$70="",ROUND(AZ180/12,0),ROUND(데이터입력!$O$70/데이터입력!$Y$8/$BC$63,0)))</f>
        <v/>
      </c>
    </row>
    <row r="181" spans="42:54">
      <c r="AP181" s="1035" t="str">
        <f>IF(예산실적비교표!AL181&lt;&gt;"",예산실적비교표!AL181,"")</f>
        <v/>
      </c>
      <c r="AQ181" s="1036" t="str">
        <f>IF(예산실적비교표!AM181&lt;&gt;"",예산실적비교표!AM181,"")</f>
        <v/>
      </c>
      <c r="AR181" s="1037">
        <f>IF(AND(예산실적비교표!AN181&lt;&gt;"",예산실적비교표!AN181&gt;1),예산실적비교표!AN181,0)</f>
        <v>0</v>
      </c>
      <c r="AS181" s="1038">
        <f>IF(예산실적비교표!AO181&lt;&gt;"",예산실적비교표!AO181,0)</f>
        <v>0</v>
      </c>
      <c r="AT181" s="971">
        <f t="shared" si="32"/>
        <v>0</v>
      </c>
      <c r="AU181" s="1039">
        <f>IF(예산실적비교표!AQ181&lt;&gt;"",예산실적비교표!AQ181,0)</f>
        <v>0</v>
      </c>
      <c r="AV181" s="973">
        <f t="shared" si="33"/>
        <v>0</v>
      </c>
      <c r="AW181" s="974">
        <f>IF(AR181="",0,ROUND((AT181*$AT$7)*데이터입력!$AF$14+(AT181*$AU$7)*데이터입력!$AF$14+(AT181*$AU$7*$AV$7)*데이터입력!$AF$14+(AT181*$AW$7)*데이터입력!$AF$14+(AT181*$AX$7)*데이터입력!$AF$14,-1))</f>
        <v>0</v>
      </c>
      <c r="AX181" s="975">
        <f t="shared" si="34"/>
        <v>0</v>
      </c>
      <c r="AY181" s="976">
        <f>IFERROR(IF($AE$2=TRUE,IF(AR181+AS181=0,0,AR181+AS181),ROUND(IF(데이터입력!$AF$14=100%,ROUND(AR181*$AR$1,-3),ROUND(AR181*$AR$1,-3)-ROUND(((AR181*$AR$1)*$AT$4)*(데이터입력!$AF$14-100%)+((AR181*$AR$1)*$AU$4)*(데이터입력!$AF$14-100%)+((AR181*$AR$1)*$AU$4*$AV$4)*(데이터입력!$AF$14-100%)+((AR181*$AR$1)*$AW$4)*(데이터입력!$AF$14-100%),-1)),0)),0)</f>
        <v>0</v>
      </c>
      <c r="AZ181" s="977">
        <f>IFERROR(IF(AR181+AS181=0,0,IF(데이터입력!$AF$12=100%,(AT181),(AT181)+ROUND(AT181*(데이터입력!$AF$12-100%),-1))),0)</f>
        <v>0</v>
      </c>
      <c r="BA181" s="1097" t="str">
        <f>IFERROR(IF(AZ181=0,"",IF(AND(예산실적비교표!AP181&gt;0,예산실적비교표!AW181=0),"",ROUND(AZ181/12,0))),"")</f>
        <v/>
      </c>
      <c r="BB181" s="1096" t="str">
        <f>IF(BA181="","",IF(데이터입력!$O$70="",ROUND(AZ181/12,0),ROUND(데이터입력!$O$70/데이터입력!$Y$8/$BC$63,0)))</f>
        <v/>
      </c>
    </row>
    <row r="182" spans="42:54">
      <c r="AP182" s="1035" t="str">
        <f>IF(예산실적비교표!AL182&lt;&gt;"",예산실적비교표!AL182,"")</f>
        <v/>
      </c>
      <c r="AQ182" s="1036" t="str">
        <f>IF(예산실적비교표!AM182&lt;&gt;"",예산실적비교표!AM182,"")</f>
        <v/>
      </c>
      <c r="AR182" s="1037">
        <f>IF(AND(예산실적비교표!AN182&lt;&gt;"",예산실적비교표!AN182&gt;1),예산실적비교표!AN182,0)</f>
        <v>0</v>
      </c>
      <c r="AS182" s="1038">
        <f>IF(예산실적비교표!AO182&lt;&gt;"",예산실적비교표!AO182,0)</f>
        <v>0</v>
      </c>
      <c r="AT182" s="971">
        <f t="shared" si="32"/>
        <v>0</v>
      </c>
      <c r="AU182" s="1039">
        <f>IF(예산실적비교표!AQ182&lt;&gt;"",예산실적비교표!AQ182,0)</f>
        <v>0</v>
      </c>
      <c r="AV182" s="973">
        <f t="shared" si="33"/>
        <v>0</v>
      </c>
      <c r="AW182" s="974">
        <f>IF(AR182="",0,ROUND((AT182*$AT$7)*데이터입력!$AF$14+(AT182*$AU$7)*데이터입력!$AF$14+(AT182*$AU$7*$AV$7)*데이터입력!$AF$14+(AT182*$AW$7)*데이터입력!$AF$14+(AT182*$AX$7)*데이터입력!$AF$14,-1))</f>
        <v>0</v>
      </c>
      <c r="AX182" s="975">
        <f t="shared" si="34"/>
        <v>0</v>
      </c>
      <c r="AY182" s="976">
        <f>IFERROR(IF($AE$2=TRUE,IF(AR182+AS182=0,0,AR182+AS182),ROUND(IF(데이터입력!$AF$14=100%,ROUND(AR182*$AR$1,-3),ROUND(AR182*$AR$1,-3)-ROUND(((AR182*$AR$1)*$AT$4)*(데이터입력!$AF$14-100%)+((AR182*$AR$1)*$AU$4)*(데이터입력!$AF$14-100%)+((AR182*$AR$1)*$AU$4*$AV$4)*(데이터입력!$AF$14-100%)+((AR182*$AR$1)*$AW$4)*(데이터입력!$AF$14-100%),-1)),0)),0)</f>
        <v>0</v>
      </c>
      <c r="AZ182" s="977">
        <f>IFERROR(IF(AR182+AS182=0,0,IF(데이터입력!$AF$12=100%,(AT182),(AT182)+ROUND(AT182*(데이터입력!$AF$12-100%),-1))),0)</f>
        <v>0</v>
      </c>
      <c r="BA182" s="1097" t="str">
        <f>IFERROR(IF(AZ182=0,"",IF(AND(예산실적비교표!AP182&gt;0,예산실적비교표!AW182=0),"",ROUND(AZ182/12,0))),"")</f>
        <v/>
      </c>
      <c r="BB182" s="1096" t="str">
        <f>IF(BA182="","",IF(데이터입력!$O$70="",ROUND(AZ182/12,0),ROUND(데이터입력!$O$70/데이터입력!$Y$8/$BC$63,0)))</f>
        <v/>
      </c>
    </row>
    <row r="183" spans="42:54">
      <c r="AP183" s="1035" t="str">
        <f>IF(예산실적비교표!AL183&lt;&gt;"",예산실적비교표!AL183,"")</f>
        <v/>
      </c>
      <c r="AQ183" s="1036" t="str">
        <f>IF(예산실적비교표!AM183&lt;&gt;"",예산실적비교표!AM183,"")</f>
        <v/>
      </c>
      <c r="AR183" s="1037">
        <f>IF(AND(예산실적비교표!AN183&lt;&gt;"",예산실적비교표!AN183&gt;1),예산실적비교표!AN183,0)</f>
        <v>0</v>
      </c>
      <c r="AS183" s="1038">
        <f>IF(예산실적비교표!AO183&lt;&gt;"",예산실적비교표!AO183,0)</f>
        <v>0</v>
      </c>
      <c r="AT183" s="971">
        <f t="shared" si="32"/>
        <v>0</v>
      </c>
      <c r="AU183" s="1039">
        <f>IF(예산실적비교표!AQ183&lt;&gt;"",예산실적비교표!AQ183,0)</f>
        <v>0</v>
      </c>
      <c r="AV183" s="973">
        <f t="shared" si="33"/>
        <v>0</v>
      </c>
      <c r="AW183" s="974">
        <f>IF(AR183="",0,ROUND((AT183*$AT$7)*데이터입력!$AF$14+(AT183*$AU$7)*데이터입력!$AF$14+(AT183*$AU$7*$AV$7)*데이터입력!$AF$14+(AT183*$AW$7)*데이터입력!$AF$14+(AT183*$AX$7)*데이터입력!$AF$14,-1))</f>
        <v>0</v>
      </c>
      <c r="AX183" s="975">
        <f t="shared" si="34"/>
        <v>0</v>
      </c>
      <c r="AY183" s="976">
        <f>IFERROR(IF($AE$2=TRUE,IF(AR183+AS183=0,0,AR183+AS183),ROUND(IF(데이터입력!$AF$14=100%,ROUND(AR183*$AR$1,-3),ROUND(AR183*$AR$1,-3)-ROUND(((AR183*$AR$1)*$AT$4)*(데이터입력!$AF$14-100%)+((AR183*$AR$1)*$AU$4)*(데이터입력!$AF$14-100%)+((AR183*$AR$1)*$AU$4*$AV$4)*(데이터입력!$AF$14-100%)+((AR183*$AR$1)*$AW$4)*(데이터입력!$AF$14-100%),-1)),0)),0)</f>
        <v>0</v>
      </c>
      <c r="AZ183" s="977">
        <f>IFERROR(IF(AR183+AS183=0,0,IF(데이터입력!$AF$12=100%,(AT183),(AT183)+ROUND(AT183*(데이터입력!$AF$12-100%),-1))),0)</f>
        <v>0</v>
      </c>
      <c r="BA183" s="1097" t="str">
        <f>IFERROR(IF(AZ183=0,"",IF(AND(예산실적비교표!AP183&gt;0,예산실적비교표!AW183=0),"",ROUND(AZ183/12,0))),"")</f>
        <v/>
      </c>
      <c r="BB183" s="1096" t="str">
        <f>IF(BA183="","",IF(데이터입력!$O$70="",ROUND(AZ183/12,0),ROUND(데이터입력!$O$70/데이터입력!$Y$8/$BC$63,0)))</f>
        <v/>
      </c>
    </row>
    <row r="184" spans="42:54">
      <c r="AP184" s="1035" t="str">
        <f>IF(예산실적비교표!AL184&lt;&gt;"",예산실적비교표!AL184,"")</f>
        <v/>
      </c>
      <c r="AQ184" s="1036" t="str">
        <f>IF(예산실적비교표!AM184&lt;&gt;"",예산실적비교표!AM184,"")</f>
        <v/>
      </c>
      <c r="AR184" s="1037">
        <f>IF(AND(예산실적비교표!AN184&lt;&gt;"",예산실적비교표!AN184&gt;1),예산실적비교표!AN184,0)</f>
        <v>0</v>
      </c>
      <c r="AS184" s="1038">
        <f>IF(예산실적비교표!AO184&lt;&gt;"",예산실적비교표!AO184,0)</f>
        <v>0</v>
      </c>
      <c r="AT184" s="971">
        <f t="shared" si="32"/>
        <v>0</v>
      </c>
      <c r="AU184" s="1039">
        <f>IF(예산실적비교표!AQ184&lt;&gt;"",예산실적비교표!AQ184,0)</f>
        <v>0</v>
      </c>
      <c r="AV184" s="973">
        <f t="shared" si="33"/>
        <v>0</v>
      </c>
      <c r="AW184" s="974">
        <f>IF(AR184="",0,ROUND((AT184*$AT$7)*데이터입력!$AF$14+(AT184*$AU$7)*데이터입력!$AF$14+(AT184*$AU$7*$AV$7)*데이터입력!$AF$14+(AT184*$AW$7)*데이터입력!$AF$14+(AT184*$AX$7)*데이터입력!$AF$14,-1))</f>
        <v>0</v>
      </c>
      <c r="AX184" s="975">
        <f t="shared" si="34"/>
        <v>0</v>
      </c>
      <c r="AY184" s="976">
        <f>IFERROR(IF($AE$2=TRUE,IF(AR184+AS184=0,0,AR184+AS184),ROUND(IF(데이터입력!$AF$14=100%,ROUND(AR184*$AR$1,-3),ROUND(AR184*$AR$1,-3)-ROUND(((AR184*$AR$1)*$AT$4)*(데이터입력!$AF$14-100%)+((AR184*$AR$1)*$AU$4)*(데이터입력!$AF$14-100%)+((AR184*$AR$1)*$AU$4*$AV$4)*(데이터입력!$AF$14-100%)+((AR184*$AR$1)*$AW$4)*(데이터입력!$AF$14-100%),-1)),0)),0)</f>
        <v>0</v>
      </c>
      <c r="AZ184" s="977">
        <f>IFERROR(IF(AR184+AS184=0,0,IF(데이터입력!$AF$12=100%,(AT184),(AT184)+ROUND(AT184*(데이터입력!$AF$12-100%),-1))),0)</f>
        <v>0</v>
      </c>
      <c r="BA184" s="1097" t="str">
        <f>IFERROR(IF(AZ184=0,"",IF(AND(예산실적비교표!AP184&gt;0,예산실적비교표!AW184=0),"",ROUND(AZ184/12,0))),"")</f>
        <v/>
      </c>
      <c r="BB184" s="1096" t="str">
        <f>IF(BA184="","",IF(데이터입력!$O$70="",ROUND(AZ184/12,0),ROUND(데이터입력!$O$70/데이터입력!$Y$8/$BC$63,0)))</f>
        <v/>
      </c>
    </row>
    <row r="185" spans="42:54">
      <c r="AP185" s="1035" t="str">
        <f>IF(예산실적비교표!AL185&lt;&gt;"",예산실적비교표!AL185,"")</f>
        <v/>
      </c>
      <c r="AQ185" s="1036" t="str">
        <f>IF(예산실적비교표!AM185&lt;&gt;"",예산실적비교표!AM185,"")</f>
        <v/>
      </c>
      <c r="AR185" s="1037">
        <f>IF(AND(예산실적비교표!AN185&lt;&gt;"",예산실적비교표!AN185&gt;1),예산실적비교표!AN185,0)</f>
        <v>0</v>
      </c>
      <c r="AS185" s="1038">
        <f>IF(예산실적비교표!AO185&lt;&gt;"",예산실적비교표!AO185,0)</f>
        <v>0</v>
      </c>
      <c r="AT185" s="971">
        <f t="shared" si="32"/>
        <v>0</v>
      </c>
      <c r="AU185" s="1039">
        <f>IF(예산실적비교표!AQ185&lt;&gt;"",예산실적비교표!AQ185,0)</f>
        <v>0</v>
      </c>
      <c r="AV185" s="973">
        <f t="shared" si="33"/>
        <v>0</v>
      </c>
      <c r="AW185" s="974">
        <f>IF(AR185="",0,ROUND((AT185*$AT$7)*데이터입력!$AF$14+(AT185*$AU$7)*데이터입력!$AF$14+(AT185*$AU$7*$AV$7)*데이터입력!$AF$14+(AT185*$AW$7)*데이터입력!$AF$14+(AT185*$AX$7)*데이터입력!$AF$14,-1))</f>
        <v>0</v>
      </c>
      <c r="AX185" s="975">
        <f t="shared" si="34"/>
        <v>0</v>
      </c>
      <c r="AY185" s="976">
        <f>IFERROR(IF($AE$2=TRUE,IF(AR185+AS185=0,0,AR185+AS185),ROUND(IF(데이터입력!$AF$14=100%,ROUND(AR185*$AR$1,-3),ROUND(AR185*$AR$1,-3)-ROUND(((AR185*$AR$1)*$AT$4)*(데이터입력!$AF$14-100%)+((AR185*$AR$1)*$AU$4)*(데이터입력!$AF$14-100%)+((AR185*$AR$1)*$AU$4*$AV$4)*(데이터입력!$AF$14-100%)+((AR185*$AR$1)*$AW$4)*(데이터입력!$AF$14-100%),-1)),0)),0)</f>
        <v>0</v>
      </c>
      <c r="AZ185" s="977">
        <f>IFERROR(IF(AR185+AS185=0,0,IF(데이터입력!$AF$12=100%,(AT185),(AT185)+ROUND(AT185*(데이터입력!$AF$12-100%),-1))),0)</f>
        <v>0</v>
      </c>
      <c r="BA185" s="1097" t="str">
        <f>IFERROR(IF(AZ185=0,"",IF(AND(예산실적비교표!AP185&gt;0,예산실적비교표!AW185=0),"",ROUND(AZ185/12,0))),"")</f>
        <v/>
      </c>
      <c r="BB185" s="1096" t="str">
        <f>IF(BA185="","",IF(데이터입력!$O$70="",ROUND(AZ185/12,0),ROUND(데이터입력!$O$70/데이터입력!$Y$8/$BC$63,0)))</f>
        <v/>
      </c>
    </row>
    <row r="186" spans="42:54">
      <c r="AP186" s="1035" t="str">
        <f>IF(예산실적비교표!AL186&lt;&gt;"",예산실적비교표!AL186,"")</f>
        <v/>
      </c>
      <c r="AQ186" s="1036" t="str">
        <f>IF(예산실적비교표!AM186&lt;&gt;"",예산실적비교표!AM186,"")</f>
        <v/>
      </c>
      <c r="AR186" s="1037">
        <f>IF(AND(예산실적비교표!AN186&lt;&gt;"",예산실적비교표!AN186&gt;1),예산실적비교표!AN186,0)</f>
        <v>0</v>
      </c>
      <c r="AS186" s="1038">
        <f>IF(예산실적비교표!AO186&lt;&gt;"",예산실적비교표!AO186,0)</f>
        <v>0</v>
      </c>
      <c r="AT186" s="971">
        <f t="shared" si="32"/>
        <v>0</v>
      </c>
      <c r="AU186" s="1039">
        <f>IF(예산실적비교표!AQ186&lt;&gt;"",예산실적비교표!AQ186,0)</f>
        <v>0</v>
      </c>
      <c r="AV186" s="973">
        <f t="shared" si="33"/>
        <v>0</v>
      </c>
      <c r="AW186" s="974">
        <f>IF(AR186="",0,ROUND((AT186*$AT$7)*데이터입력!$AF$14+(AT186*$AU$7)*데이터입력!$AF$14+(AT186*$AU$7*$AV$7)*데이터입력!$AF$14+(AT186*$AW$7)*데이터입력!$AF$14+(AT186*$AX$7)*데이터입력!$AF$14,-1))</f>
        <v>0</v>
      </c>
      <c r="AX186" s="975">
        <f t="shared" si="34"/>
        <v>0</v>
      </c>
      <c r="AY186" s="976">
        <f>IFERROR(IF($AE$2=TRUE,IF(AR186+AS186=0,0,AR186+AS186),ROUND(IF(데이터입력!$AF$14=100%,ROUND(AR186*$AR$1,-3),ROUND(AR186*$AR$1,-3)-ROUND(((AR186*$AR$1)*$AT$4)*(데이터입력!$AF$14-100%)+((AR186*$AR$1)*$AU$4)*(데이터입력!$AF$14-100%)+((AR186*$AR$1)*$AU$4*$AV$4)*(데이터입력!$AF$14-100%)+((AR186*$AR$1)*$AW$4)*(데이터입력!$AF$14-100%),-1)),0)),0)</f>
        <v>0</v>
      </c>
      <c r="AZ186" s="977">
        <f>IFERROR(IF(AR186+AS186=0,0,IF(데이터입력!$AF$12=100%,(AT186),(AT186)+ROUND(AT186*(데이터입력!$AF$12-100%),-1))),0)</f>
        <v>0</v>
      </c>
      <c r="BA186" s="1097" t="str">
        <f>IFERROR(IF(AZ186=0,"",IF(AND(예산실적비교표!AP186&gt;0,예산실적비교표!AW186=0),"",ROUND(AZ186/12,0))),"")</f>
        <v/>
      </c>
      <c r="BB186" s="1096" t="str">
        <f>IF(BA186="","",IF(데이터입력!$O$70="",ROUND(AZ186/12,0),ROUND(데이터입력!$O$70/데이터입력!$Y$8/$BC$63,0)))</f>
        <v/>
      </c>
    </row>
    <row r="187" spans="42:54">
      <c r="AP187" s="1035" t="str">
        <f>IF(예산실적비교표!AL187&lt;&gt;"",예산실적비교표!AL187,"")</f>
        <v/>
      </c>
      <c r="AQ187" s="1036" t="str">
        <f>IF(예산실적비교표!AM187&lt;&gt;"",예산실적비교표!AM187,"")</f>
        <v/>
      </c>
      <c r="AR187" s="1037">
        <f>IF(AND(예산실적비교표!AN187&lt;&gt;"",예산실적비교표!AN187&gt;1),예산실적비교표!AN187,0)</f>
        <v>0</v>
      </c>
      <c r="AS187" s="1038">
        <f>IF(예산실적비교표!AO187&lt;&gt;"",예산실적비교표!AO187,0)</f>
        <v>0</v>
      </c>
      <c r="AT187" s="971">
        <f t="shared" si="32"/>
        <v>0</v>
      </c>
      <c r="AU187" s="1039">
        <f>IF(예산실적비교표!AQ187&lt;&gt;"",예산실적비교표!AQ187,0)</f>
        <v>0</v>
      </c>
      <c r="AV187" s="973">
        <f t="shared" si="33"/>
        <v>0</v>
      </c>
      <c r="AW187" s="974">
        <f>IF(AR187="",0,ROUND((AT187*$AT$7)*데이터입력!$AF$14+(AT187*$AU$7)*데이터입력!$AF$14+(AT187*$AU$7*$AV$7)*데이터입력!$AF$14+(AT187*$AW$7)*데이터입력!$AF$14+(AT187*$AX$7)*데이터입력!$AF$14,-1))</f>
        <v>0</v>
      </c>
      <c r="AX187" s="975">
        <f t="shared" si="34"/>
        <v>0</v>
      </c>
      <c r="AY187" s="976">
        <f>IFERROR(IF($AE$2=TRUE,IF(AR187+AS187=0,0,AR187+AS187),ROUND(IF(데이터입력!$AF$14=100%,ROUND(AR187*$AR$1,-3),ROUND(AR187*$AR$1,-3)-ROUND(((AR187*$AR$1)*$AT$4)*(데이터입력!$AF$14-100%)+((AR187*$AR$1)*$AU$4)*(데이터입력!$AF$14-100%)+((AR187*$AR$1)*$AU$4*$AV$4)*(데이터입력!$AF$14-100%)+((AR187*$AR$1)*$AW$4)*(데이터입력!$AF$14-100%),-1)),0)),0)</f>
        <v>0</v>
      </c>
      <c r="AZ187" s="977">
        <f>IFERROR(IF(AR187+AS187=0,0,IF(데이터입력!$AF$12=100%,(AT187),(AT187)+ROUND(AT187*(데이터입력!$AF$12-100%),-1))),0)</f>
        <v>0</v>
      </c>
      <c r="BA187" s="1097" t="str">
        <f>IFERROR(IF(AZ187=0,"",IF(AND(예산실적비교표!AP187&gt;0,예산실적비교표!AW187=0),"",ROUND(AZ187/12,0))),"")</f>
        <v/>
      </c>
      <c r="BB187" s="1096" t="str">
        <f>IF(BA187="","",IF(데이터입력!$O$70="",ROUND(AZ187/12,0),ROUND(데이터입력!$O$70/데이터입력!$Y$8/$BC$63,0)))</f>
        <v/>
      </c>
    </row>
    <row r="188" spans="42:54">
      <c r="AP188" s="1035" t="str">
        <f>IF(예산실적비교표!AL188&lt;&gt;"",예산실적비교표!AL188,"")</f>
        <v/>
      </c>
      <c r="AQ188" s="1036" t="str">
        <f>IF(예산실적비교표!AM188&lt;&gt;"",예산실적비교표!AM188,"")</f>
        <v/>
      </c>
      <c r="AR188" s="1037">
        <f>IF(AND(예산실적비교표!AN188&lt;&gt;"",예산실적비교표!AN188&gt;1),예산실적비교표!AN188,0)</f>
        <v>0</v>
      </c>
      <c r="AS188" s="1038">
        <f>IF(예산실적비교표!AO188&lt;&gt;"",예산실적비교표!AO188,0)</f>
        <v>0</v>
      </c>
      <c r="AT188" s="971">
        <f t="shared" si="32"/>
        <v>0</v>
      </c>
      <c r="AU188" s="1039">
        <f>IF(예산실적비교표!AQ188&lt;&gt;"",예산실적비교표!AQ188,0)</f>
        <v>0</v>
      </c>
      <c r="AV188" s="973">
        <f t="shared" si="33"/>
        <v>0</v>
      </c>
      <c r="AW188" s="974">
        <f>IF(AR188="",0,ROUND((AT188*$AT$7)*데이터입력!$AF$14+(AT188*$AU$7)*데이터입력!$AF$14+(AT188*$AU$7*$AV$7)*데이터입력!$AF$14+(AT188*$AW$7)*데이터입력!$AF$14+(AT188*$AX$7)*데이터입력!$AF$14,-1))</f>
        <v>0</v>
      </c>
      <c r="AX188" s="975">
        <f t="shared" si="34"/>
        <v>0</v>
      </c>
      <c r="AY188" s="976">
        <f>IFERROR(IF($AE$2=TRUE,IF(AR188+AS188=0,0,AR188+AS188),ROUND(IF(데이터입력!$AF$14=100%,ROUND(AR188*$AR$1,-3),ROUND(AR188*$AR$1,-3)-ROUND(((AR188*$AR$1)*$AT$4)*(데이터입력!$AF$14-100%)+((AR188*$AR$1)*$AU$4)*(데이터입력!$AF$14-100%)+((AR188*$AR$1)*$AU$4*$AV$4)*(데이터입력!$AF$14-100%)+((AR188*$AR$1)*$AW$4)*(데이터입력!$AF$14-100%),-1)),0)),0)</f>
        <v>0</v>
      </c>
      <c r="AZ188" s="977">
        <f>IFERROR(IF(AR188+AS188=0,0,IF(데이터입력!$AF$12=100%,(AT188),(AT188)+ROUND(AT188*(데이터입력!$AF$12-100%),-1))),0)</f>
        <v>0</v>
      </c>
      <c r="BA188" s="1097" t="str">
        <f>IFERROR(IF(AZ188=0,"",IF(AND(예산실적비교표!AP188&gt;0,예산실적비교표!AW188=0),"",ROUND(AZ188/12,0))),"")</f>
        <v/>
      </c>
      <c r="BB188" s="1096" t="str">
        <f>IF(BA188="","",IF(데이터입력!$O$70="",ROUND(AZ188/12,0),ROUND(데이터입력!$O$70/데이터입력!$Y$8/$BC$63,0)))</f>
        <v/>
      </c>
    </row>
    <row r="189" spans="42:54">
      <c r="AP189" s="1035" t="str">
        <f>IF(예산실적비교표!AL189&lt;&gt;"",예산실적비교표!AL189,"")</f>
        <v/>
      </c>
      <c r="AQ189" s="1036" t="str">
        <f>IF(예산실적비교표!AM189&lt;&gt;"",예산실적비교표!AM189,"")</f>
        <v/>
      </c>
      <c r="AR189" s="1037">
        <f>IF(AND(예산실적비교표!AN189&lt;&gt;"",예산실적비교표!AN189&gt;1),예산실적비교표!AN189,0)</f>
        <v>0</v>
      </c>
      <c r="AS189" s="1038">
        <f>IF(예산실적비교표!AO189&lt;&gt;"",예산실적비교표!AO189,0)</f>
        <v>0</v>
      </c>
      <c r="AT189" s="971">
        <f t="shared" si="32"/>
        <v>0</v>
      </c>
      <c r="AU189" s="1039">
        <f>IF(예산실적비교표!AQ189&lt;&gt;"",예산실적비교표!AQ189,0)</f>
        <v>0</v>
      </c>
      <c r="AV189" s="973">
        <f t="shared" si="33"/>
        <v>0</v>
      </c>
      <c r="AW189" s="974">
        <f>IF(AR189="",0,ROUND((AT189*$AT$7)*데이터입력!$AF$14+(AT189*$AU$7)*데이터입력!$AF$14+(AT189*$AU$7*$AV$7)*데이터입력!$AF$14+(AT189*$AW$7)*데이터입력!$AF$14+(AT189*$AX$7)*데이터입력!$AF$14,-1))</f>
        <v>0</v>
      </c>
      <c r="AX189" s="975">
        <f t="shared" si="34"/>
        <v>0</v>
      </c>
      <c r="AY189" s="976">
        <f>IFERROR(IF($AE$2=TRUE,IF(AR189+AS189=0,0,AR189+AS189),ROUND(IF(데이터입력!$AF$14=100%,ROUND(AR189*$AR$1,-3),ROUND(AR189*$AR$1,-3)-ROUND(((AR189*$AR$1)*$AT$4)*(데이터입력!$AF$14-100%)+((AR189*$AR$1)*$AU$4)*(데이터입력!$AF$14-100%)+((AR189*$AR$1)*$AU$4*$AV$4)*(데이터입력!$AF$14-100%)+((AR189*$AR$1)*$AW$4)*(데이터입력!$AF$14-100%),-1)),0)),0)</f>
        <v>0</v>
      </c>
      <c r="AZ189" s="977">
        <f>IFERROR(IF(AR189+AS189=0,0,IF(데이터입력!$AF$12=100%,(AT189),(AT189)+ROUND(AT189*(데이터입력!$AF$12-100%),-1))),0)</f>
        <v>0</v>
      </c>
      <c r="BA189" s="1097" t="str">
        <f>IFERROR(IF(AZ189=0,"",IF(AND(예산실적비교표!AP189&gt;0,예산실적비교표!AW189=0),"",ROUND(AZ189/12,0))),"")</f>
        <v/>
      </c>
      <c r="BB189" s="1096" t="str">
        <f>IF(BA189="","",IF(데이터입력!$O$70="",ROUND(AZ189/12,0),ROUND(데이터입력!$O$70/데이터입력!$Y$8/$BC$63,0)))</f>
        <v/>
      </c>
    </row>
    <row r="190" spans="42:54">
      <c r="AP190" s="1035" t="str">
        <f>IF(예산실적비교표!AL190&lt;&gt;"",예산실적비교표!AL190,"")</f>
        <v/>
      </c>
      <c r="AQ190" s="1036" t="str">
        <f>IF(예산실적비교표!AM190&lt;&gt;"",예산실적비교표!AM190,"")</f>
        <v/>
      </c>
      <c r="AR190" s="1037">
        <f>IF(AND(예산실적비교표!AN190&lt;&gt;"",예산실적비교표!AN190&gt;1),예산실적비교표!AN190,0)</f>
        <v>0</v>
      </c>
      <c r="AS190" s="1038">
        <f>IF(예산실적비교표!AO190&lt;&gt;"",예산실적비교표!AO190,0)</f>
        <v>0</v>
      </c>
      <c r="AT190" s="971">
        <f t="shared" si="32"/>
        <v>0</v>
      </c>
      <c r="AU190" s="1039">
        <f>IF(예산실적비교표!AQ190&lt;&gt;"",예산실적비교표!AQ190,0)</f>
        <v>0</v>
      </c>
      <c r="AV190" s="973">
        <f t="shared" si="33"/>
        <v>0</v>
      </c>
      <c r="AW190" s="974">
        <f>IF(AR190="",0,ROUND((AT190*$AT$7)*데이터입력!$AF$14+(AT190*$AU$7)*데이터입력!$AF$14+(AT190*$AU$7*$AV$7)*데이터입력!$AF$14+(AT190*$AW$7)*데이터입력!$AF$14+(AT190*$AX$7)*데이터입력!$AF$14,-1))</f>
        <v>0</v>
      </c>
      <c r="AX190" s="975">
        <f t="shared" si="34"/>
        <v>0</v>
      </c>
      <c r="AY190" s="976">
        <f>IFERROR(IF($AE$2=TRUE,IF(AR190+AS190=0,0,AR190+AS190),ROUND(IF(데이터입력!$AF$14=100%,ROUND(AR190*$AR$1,-3),ROUND(AR190*$AR$1,-3)-ROUND(((AR190*$AR$1)*$AT$4)*(데이터입력!$AF$14-100%)+((AR190*$AR$1)*$AU$4)*(데이터입력!$AF$14-100%)+((AR190*$AR$1)*$AU$4*$AV$4)*(데이터입력!$AF$14-100%)+((AR190*$AR$1)*$AW$4)*(데이터입력!$AF$14-100%),-1)),0)),0)</f>
        <v>0</v>
      </c>
      <c r="AZ190" s="977">
        <f>IFERROR(IF(AR190+AS190=0,0,IF(데이터입력!$AF$12=100%,(AT190),(AT190)+ROUND(AT190*(데이터입력!$AF$12-100%),-1))),0)</f>
        <v>0</v>
      </c>
      <c r="BA190" s="1097" t="str">
        <f>IFERROR(IF(AZ190=0,"",IF(AND(예산실적비교표!AP190&gt;0,예산실적비교표!AW190=0),"",ROUND(AZ190/12,0))),"")</f>
        <v/>
      </c>
      <c r="BB190" s="1096" t="str">
        <f>IF(BA190="","",IF(데이터입력!$O$70="",ROUND(AZ190/12,0),ROUND(데이터입력!$O$70/데이터입력!$Y$8/$BC$63,0)))</f>
        <v/>
      </c>
    </row>
    <row r="191" spans="42:54">
      <c r="AP191" s="1035" t="str">
        <f>IF(예산실적비교표!AL191&lt;&gt;"",예산실적비교표!AL191,"")</f>
        <v/>
      </c>
      <c r="AQ191" s="1036" t="str">
        <f>IF(예산실적비교표!AM191&lt;&gt;"",예산실적비교표!AM191,"")</f>
        <v/>
      </c>
      <c r="AR191" s="1037">
        <f>IF(AND(예산실적비교표!AN191&lt;&gt;"",예산실적비교표!AN191&gt;1),예산실적비교표!AN191,0)</f>
        <v>0</v>
      </c>
      <c r="AS191" s="1038">
        <f>IF(예산실적비교표!AO191&lt;&gt;"",예산실적비교표!AO191,0)</f>
        <v>0</v>
      </c>
      <c r="AT191" s="971">
        <f t="shared" si="32"/>
        <v>0</v>
      </c>
      <c r="AU191" s="1039">
        <f>IF(예산실적비교표!AQ191&lt;&gt;"",예산실적비교표!AQ191,0)</f>
        <v>0</v>
      </c>
      <c r="AV191" s="973">
        <f t="shared" si="33"/>
        <v>0</v>
      </c>
      <c r="AW191" s="974">
        <f>IF(AR191="",0,ROUND((AT191*$AT$7)*데이터입력!$AF$14+(AT191*$AU$7)*데이터입력!$AF$14+(AT191*$AU$7*$AV$7)*데이터입력!$AF$14+(AT191*$AW$7)*데이터입력!$AF$14+(AT191*$AX$7)*데이터입력!$AF$14,-1))</f>
        <v>0</v>
      </c>
      <c r="AX191" s="975">
        <f t="shared" si="34"/>
        <v>0</v>
      </c>
      <c r="AY191" s="976">
        <f>IFERROR(IF($AE$2=TRUE,IF(AR191+AS191=0,0,AR191+AS191),ROUND(IF(데이터입력!$AF$14=100%,ROUND(AR191*$AR$1,-3),ROUND(AR191*$AR$1,-3)-ROUND(((AR191*$AR$1)*$AT$4)*(데이터입력!$AF$14-100%)+((AR191*$AR$1)*$AU$4)*(데이터입력!$AF$14-100%)+((AR191*$AR$1)*$AU$4*$AV$4)*(데이터입력!$AF$14-100%)+((AR191*$AR$1)*$AW$4)*(데이터입력!$AF$14-100%),-1)),0)),0)</f>
        <v>0</v>
      </c>
      <c r="AZ191" s="977">
        <f>IFERROR(IF(AR191+AS191=0,0,IF(데이터입력!$AF$12=100%,(AT191),(AT191)+ROUND(AT191*(데이터입력!$AF$12-100%),-1))),0)</f>
        <v>0</v>
      </c>
      <c r="BA191" s="1097" t="str">
        <f>IFERROR(IF(AZ191=0,"",IF(AND(예산실적비교표!AP191&gt;0,예산실적비교표!AW191=0),"",ROUND(AZ191/12,0))),"")</f>
        <v/>
      </c>
      <c r="BB191" s="1096" t="str">
        <f>IF(BA191="","",IF(데이터입력!$O$70="",ROUND(AZ191/12,0),ROUND(데이터입력!$O$70/데이터입력!$Y$8/$BC$63,0)))</f>
        <v/>
      </c>
    </row>
    <row r="192" spans="42:54">
      <c r="AP192" s="1035" t="str">
        <f>IF(예산실적비교표!AL192&lt;&gt;"",예산실적비교표!AL192,"")</f>
        <v/>
      </c>
      <c r="AQ192" s="1036" t="str">
        <f>IF(예산실적비교표!AM192&lt;&gt;"",예산실적비교표!AM192,"")</f>
        <v/>
      </c>
      <c r="AR192" s="1037">
        <f>IF(AND(예산실적비교표!AN192&lt;&gt;"",예산실적비교표!AN192&gt;1),예산실적비교표!AN192,0)</f>
        <v>0</v>
      </c>
      <c r="AS192" s="1038">
        <f>IF(예산실적비교표!AO192&lt;&gt;"",예산실적비교표!AO192,0)</f>
        <v>0</v>
      </c>
      <c r="AT192" s="971">
        <f t="shared" ref="AT192:AT255" si="40">IFERROR(IF(AND(AP192&lt;&gt;"",(AR192+AS192)=0),1,ROUND((AR192+AS192)*$AR$1,-3)),0)</f>
        <v>0</v>
      </c>
      <c r="AU192" s="1039">
        <f>IF(예산실적비교표!AQ192&lt;&gt;"",예산실적비교표!AQ192,0)</f>
        <v>0</v>
      </c>
      <c r="AV192" s="973">
        <f t="shared" ref="AV192:AV255" si="41">IF(BB192="",0,BB192)</f>
        <v>0</v>
      </c>
      <c r="AW192" s="974">
        <f>IF(AR192="",0,ROUND((AT192*$AT$7)*데이터입력!$AF$14+(AT192*$AU$7)*데이터입력!$AF$14+(AT192*$AU$7*$AV$7)*데이터입력!$AF$14+(AT192*$AW$7)*데이터입력!$AF$14+(AT192*$AX$7)*데이터입력!$AF$14,-1))</f>
        <v>0</v>
      </c>
      <c r="AX192" s="975">
        <f t="shared" ref="AX192:AX255" si="42">IF(SUM(AT192:AW192)=0,0,SUM(AT192:AW192))</f>
        <v>0</v>
      </c>
      <c r="AY192" s="976">
        <f>IFERROR(IF($AE$2=TRUE,IF(AR192+AS192=0,0,AR192+AS192),ROUND(IF(데이터입력!$AF$14=100%,ROUND(AR192*$AR$1,-3),ROUND(AR192*$AR$1,-3)-ROUND(((AR192*$AR$1)*$AT$4)*(데이터입력!$AF$14-100%)+((AR192*$AR$1)*$AU$4)*(데이터입력!$AF$14-100%)+((AR192*$AR$1)*$AU$4*$AV$4)*(데이터입력!$AF$14-100%)+((AR192*$AR$1)*$AW$4)*(데이터입력!$AF$14-100%),-1)),0)),0)</f>
        <v>0</v>
      </c>
      <c r="AZ192" s="977">
        <f>IFERROR(IF(AR192+AS192=0,0,IF(데이터입력!$AF$12=100%,(AT192),(AT192)+ROUND(AT192*(데이터입력!$AF$12-100%),-1))),0)</f>
        <v>0</v>
      </c>
      <c r="BA192" s="1097" t="str">
        <f>IFERROR(IF(AZ192=0,"",IF(AND(예산실적비교표!AP192&gt;0,예산실적비교표!AW192=0),"",ROUND(AZ192/12,0))),"")</f>
        <v/>
      </c>
      <c r="BB192" s="1096" t="str">
        <f>IF(BA192="","",IF(데이터입력!$O$70="",ROUND(AZ192/12,0),ROUND(데이터입력!$O$70/데이터입력!$Y$8/$BC$63,0)))</f>
        <v/>
      </c>
    </row>
    <row r="193" spans="42:54">
      <c r="AP193" s="1035" t="str">
        <f>IF(예산실적비교표!AL193&lt;&gt;"",예산실적비교표!AL193,"")</f>
        <v/>
      </c>
      <c r="AQ193" s="1036" t="str">
        <f>IF(예산실적비교표!AM193&lt;&gt;"",예산실적비교표!AM193,"")</f>
        <v/>
      </c>
      <c r="AR193" s="1037">
        <f>IF(AND(예산실적비교표!AN193&lt;&gt;"",예산실적비교표!AN193&gt;1),예산실적비교표!AN193,0)</f>
        <v>0</v>
      </c>
      <c r="AS193" s="1038">
        <f>IF(예산실적비교표!AO193&lt;&gt;"",예산실적비교표!AO193,0)</f>
        <v>0</v>
      </c>
      <c r="AT193" s="971">
        <f t="shared" si="40"/>
        <v>0</v>
      </c>
      <c r="AU193" s="1039">
        <f>IF(예산실적비교표!AQ193&lt;&gt;"",예산실적비교표!AQ193,0)</f>
        <v>0</v>
      </c>
      <c r="AV193" s="973">
        <f t="shared" si="41"/>
        <v>0</v>
      </c>
      <c r="AW193" s="974">
        <f>IF(AR193="",0,ROUND((AT193*$AT$7)*데이터입력!$AF$14+(AT193*$AU$7)*데이터입력!$AF$14+(AT193*$AU$7*$AV$7)*데이터입력!$AF$14+(AT193*$AW$7)*데이터입력!$AF$14+(AT193*$AX$7)*데이터입력!$AF$14,-1))</f>
        <v>0</v>
      </c>
      <c r="AX193" s="975">
        <f t="shared" si="42"/>
        <v>0</v>
      </c>
      <c r="AY193" s="976">
        <f>IFERROR(IF($AE$2=TRUE,IF(AR193+AS193=0,0,AR193+AS193),ROUND(IF(데이터입력!$AF$14=100%,ROUND(AR193*$AR$1,-3),ROUND(AR193*$AR$1,-3)-ROUND(((AR193*$AR$1)*$AT$4)*(데이터입력!$AF$14-100%)+((AR193*$AR$1)*$AU$4)*(데이터입력!$AF$14-100%)+((AR193*$AR$1)*$AU$4*$AV$4)*(데이터입력!$AF$14-100%)+((AR193*$AR$1)*$AW$4)*(데이터입력!$AF$14-100%),-1)),0)),0)</f>
        <v>0</v>
      </c>
      <c r="AZ193" s="977">
        <f>IFERROR(IF(AR193+AS193=0,0,IF(데이터입력!$AF$12=100%,(AT193),(AT193)+ROUND(AT193*(데이터입력!$AF$12-100%),-1))),0)</f>
        <v>0</v>
      </c>
      <c r="BA193" s="1097" t="str">
        <f>IFERROR(IF(AZ193=0,"",IF(AND(예산실적비교표!AP193&gt;0,예산실적비교표!AW193=0),"",ROUND(AZ193/12,0))),"")</f>
        <v/>
      </c>
      <c r="BB193" s="1096" t="str">
        <f>IF(BA193="","",IF(데이터입력!$O$70="",ROUND(AZ193/12,0),ROUND(데이터입력!$O$70/데이터입력!$Y$8/$BC$63,0)))</f>
        <v/>
      </c>
    </row>
    <row r="194" spans="42:54">
      <c r="AP194" s="1035" t="str">
        <f>IF(예산실적비교표!AL194&lt;&gt;"",예산실적비교표!AL194,"")</f>
        <v/>
      </c>
      <c r="AQ194" s="1036" t="str">
        <f>IF(예산실적비교표!AM194&lt;&gt;"",예산실적비교표!AM194,"")</f>
        <v/>
      </c>
      <c r="AR194" s="1037">
        <f>IF(AND(예산실적비교표!AN194&lt;&gt;"",예산실적비교표!AN194&gt;1),예산실적비교표!AN194,0)</f>
        <v>0</v>
      </c>
      <c r="AS194" s="1038">
        <f>IF(예산실적비교표!AO194&lt;&gt;"",예산실적비교표!AO194,0)</f>
        <v>0</v>
      </c>
      <c r="AT194" s="971">
        <f t="shared" si="40"/>
        <v>0</v>
      </c>
      <c r="AU194" s="1039">
        <f>IF(예산실적비교표!AQ194&lt;&gt;"",예산실적비교표!AQ194,0)</f>
        <v>0</v>
      </c>
      <c r="AV194" s="973">
        <f t="shared" si="41"/>
        <v>0</v>
      </c>
      <c r="AW194" s="974">
        <f>IF(AR194="",0,ROUND((AT194*$AT$7)*데이터입력!$AF$14+(AT194*$AU$7)*데이터입력!$AF$14+(AT194*$AU$7*$AV$7)*데이터입력!$AF$14+(AT194*$AW$7)*데이터입력!$AF$14+(AT194*$AX$7)*데이터입력!$AF$14,-1))</f>
        <v>0</v>
      </c>
      <c r="AX194" s="975">
        <f t="shared" si="42"/>
        <v>0</v>
      </c>
      <c r="AY194" s="976">
        <f>IFERROR(IF($AE$2=TRUE,IF(AR194+AS194=0,0,AR194+AS194),ROUND(IF(데이터입력!$AF$14=100%,ROUND(AR194*$AR$1,-3),ROUND(AR194*$AR$1,-3)-ROUND(((AR194*$AR$1)*$AT$4)*(데이터입력!$AF$14-100%)+((AR194*$AR$1)*$AU$4)*(데이터입력!$AF$14-100%)+((AR194*$AR$1)*$AU$4*$AV$4)*(데이터입력!$AF$14-100%)+((AR194*$AR$1)*$AW$4)*(데이터입력!$AF$14-100%),-1)),0)),0)</f>
        <v>0</v>
      </c>
      <c r="AZ194" s="977">
        <f>IFERROR(IF(AR194+AS194=0,0,IF(데이터입력!$AF$12=100%,(AT194),(AT194)+ROUND(AT194*(데이터입력!$AF$12-100%),-1))),0)</f>
        <v>0</v>
      </c>
      <c r="BA194" s="1097" t="str">
        <f>IFERROR(IF(AZ194=0,"",IF(AND(예산실적비교표!AP194&gt;0,예산실적비교표!AW194=0),"",ROUND(AZ194/12,0))),"")</f>
        <v/>
      </c>
      <c r="BB194" s="1096" t="str">
        <f>IF(BA194="","",IF(데이터입력!$O$70="",ROUND(AZ194/12,0),ROUND(데이터입력!$O$70/데이터입력!$Y$8/$BC$63,0)))</f>
        <v/>
      </c>
    </row>
    <row r="195" spans="42:54">
      <c r="AP195" s="1035" t="str">
        <f>IF(예산실적비교표!AL195&lt;&gt;"",예산실적비교표!AL195,"")</f>
        <v/>
      </c>
      <c r="AQ195" s="1036" t="str">
        <f>IF(예산실적비교표!AM195&lt;&gt;"",예산실적비교표!AM195,"")</f>
        <v/>
      </c>
      <c r="AR195" s="1037">
        <f>IF(AND(예산실적비교표!AN195&lt;&gt;"",예산실적비교표!AN195&gt;1),예산실적비교표!AN195,0)</f>
        <v>0</v>
      </c>
      <c r="AS195" s="1038">
        <f>IF(예산실적비교표!AO195&lt;&gt;"",예산실적비교표!AO195,0)</f>
        <v>0</v>
      </c>
      <c r="AT195" s="971">
        <f t="shared" si="40"/>
        <v>0</v>
      </c>
      <c r="AU195" s="1039">
        <f>IF(예산실적비교표!AQ195&lt;&gt;"",예산실적비교표!AQ195,0)</f>
        <v>0</v>
      </c>
      <c r="AV195" s="973">
        <f t="shared" si="41"/>
        <v>0</v>
      </c>
      <c r="AW195" s="974">
        <f>IF(AR195="",0,ROUND((AT195*$AT$7)*데이터입력!$AF$14+(AT195*$AU$7)*데이터입력!$AF$14+(AT195*$AU$7*$AV$7)*데이터입력!$AF$14+(AT195*$AW$7)*데이터입력!$AF$14+(AT195*$AX$7)*데이터입력!$AF$14,-1))</f>
        <v>0</v>
      </c>
      <c r="AX195" s="975">
        <f t="shared" si="42"/>
        <v>0</v>
      </c>
      <c r="AY195" s="976">
        <f>IFERROR(IF($AE$2=TRUE,IF(AR195+AS195=0,0,AR195+AS195),ROUND(IF(데이터입력!$AF$14=100%,ROUND(AR195*$AR$1,-3),ROUND(AR195*$AR$1,-3)-ROUND(((AR195*$AR$1)*$AT$4)*(데이터입력!$AF$14-100%)+((AR195*$AR$1)*$AU$4)*(데이터입력!$AF$14-100%)+((AR195*$AR$1)*$AU$4*$AV$4)*(데이터입력!$AF$14-100%)+((AR195*$AR$1)*$AW$4)*(데이터입력!$AF$14-100%),-1)),0)),0)</f>
        <v>0</v>
      </c>
      <c r="AZ195" s="977">
        <f>IFERROR(IF(AR195+AS195=0,0,IF(데이터입력!$AF$12=100%,(AT195),(AT195)+ROUND(AT195*(데이터입력!$AF$12-100%),-1))),0)</f>
        <v>0</v>
      </c>
      <c r="BA195" s="1097" t="str">
        <f>IFERROR(IF(AZ195=0,"",IF(AND(예산실적비교표!AP195&gt;0,예산실적비교표!AW195=0),"",ROUND(AZ195/12,0))),"")</f>
        <v/>
      </c>
      <c r="BB195" s="1096" t="str">
        <f>IF(BA195="","",IF(데이터입력!$O$70="",ROUND(AZ195/12,0),ROUND(데이터입력!$O$70/데이터입력!$Y$8/$BC$63,0)))</f>
        <v/>
      </c>
    </row>
    <row r="196" spans="42:54">
      <c r="AP196" s="1035" t="str">
        <f>IF(예산실적비교표!AL196&lt;&gt;"",예산실적비교표!AL196,"")</f>
        <v/>
      </c>
      <c r="AQ196" s="1036" t="str">
        <f>IF(예산실적비교표!AM196&lt;&gt;"",예산실적비교표!AM196,"")</f>
        <v/>
      </c>
      <c r="AR196" s="1037">
        <f>IF(AND(예산실적비교표!AN196&lt;&gt;"",예산실적비교표!AN196&gt;1),예산실적비교표!AN196,0)</f>
        <v>0</v>
      </c>
      <c r="AS196" s="1038">
        <f>IF(예산실적비교표!AO196&lt;&gt;"",예산실적비교표!AO196,0)</f>
        <v>0</v>
      </c>
      <c r="AT196" s="971">
        <f t="shared" si="40"/>
        <v>0</v>
      </c>
      <c r="AU196" s="1039">
        <f>IF(예산실적비교표!AQ196&lt;&gt;"",예산실적비교표!AQ196,0)</f>
        <v>0</v>
      </c>
      <c r="AV196" s="973">
        <f t="shared" si="41"/>
        <v>0</v>
      </c>
      <c r="AW196" s="974">
        <f>IF(AR196="",0,ROUND((AT196*$AT$7)*데이터입력!$AF$14+(AT196*$AU$7)*데이터입력!$AF$14+(AT196*$AU$7*$AV$7)*데이터입력!$AF$14+(AT196*$AW$7)*데이터입력!$AF$14+(AT196*$AX$7)*데이터입력!$AF$14,-1))</f>
        <v>0</v>
      </c>
      <c r="AX196" s="975">
        <f t="shared" si="42"/>
        <v>0</v>
      </c>
      <c r="AY196" s="976">
        <f>IFERROR(IF($AE$2=TRUE,IF(AR196+AS196=0,0,AR196+AS196),ROUND(IF(데이터입력!$AF$14=100%,ROUND(AR196*$AR$1,-3),ROUND(AR196*$AR$1,-3)-ROUND(((AR196*$AR$1)*$AT$4)*(데이터입력!$AF$14-100%)+((AR196*$AR$1)*$AU$4)*(데이터입력!$AF$14-100%)+((AR196*$AR$1)*$AU$4*$AV$4)*(데이터입력!$AF$14-100%)+((AR196*$AR$1)*$AW$4)*(데이터입력!$AF$14-100%),-1)),0)),0)</f>
        <v>0</v>
      </c>
      <c r="AZ196" s="977">
        <f>IFERROR(IF(AR196+AS196=0,0,IF(데이터입력!$AF$12=100%,(AT196),(AT196)+ROUND(AT196*(데이터입력!$AF$12-100%),-1))),0)</f>
        <v>0</v>
      </c>
      <c r="BA196" s="1097" t="str">
        <f>IFERROR(IF(AZ196=0,"",IF(AND(예산실적비교표!AP196&gt;0,예산실적비교표!AW196=0),"",ROUND(AZ196/12,0))),"")</f>
        <v/>
      </c>
      <c r="BB196" s="1096" t="str">
        <f>IF(BA196="","",IF(데이터입력!$O$70="",ROUND(AZ196/12,0),ROUND(데이터입력!$O$70/데이터입력!$Y$8/$BC$63,0)))</f>
        <v/>
      </c>
    </row>
    <row r="197" spans="42:54">
      <c r="AP197" s="1035" t="str">
        <f>IF(예산실적비교표!AL197&lt;&gt;"",예산실적비교표!AL197,"")</f>
        <v/>
      </c>
      <c r="AQ197" s="1036" t="str">
        <f>IF(예산실적비교표!AM197&lt;&gt;"",예산실적비교표!AM197,"")</f>
        <v/>
      </c>
      <c r="AR197" s="1037">
        <f>IF(AND(예산실적비교표!AN197&lt;&gt;"",예산실적비교표!AN197&gt;1),예산실적비교표!AN197,0)</f>
        <v>0</v>
      </c>
      <c r="AS197" s="1038">
        <f>IF(예산실적비교표!AO197&lt;&gt;"",예산실적비교표!AO197,0)</f>
        <v>0</v>
      </c>
      <c r="AT197" s="971">
        <f t="shared" si="40"/>
        <v>0</v>
      </c>
      <c r="AU197" s="1039">
        <f>IF(예산실적비교표!AQ197&lt;&gt;"",예산실적비교표!AQ197,0)</f>
        <v>0</v>
      </c>
      <c r="AV197" s="973">
        <f t="shared" si="41"/>
        <v>0</v>
      </c>
      <c r="AW197" s="974">
        <f>IF(AR197="",0,ROUND((AT197*$AT$7)*데이터입력!$AF$14+(AT197*$AU$7)*데이터입력!$AF$14+(AT197*$AU$7*$AV$7)*데이터입력!$AF$14+(AT197*$AW$7)*데이터입력!$AF$14+(AT197*$AX$7)*데이터입력!$AF$14,-1))</f>
        <v>0</v>
      </c>
      <c r="AX197" s="975">
        <f t="shared" si="42"/>
        <v>0</v>
      </c>
      <c r="AY197" s="976">
        <f>IFERROR(IF($AE$2=TRUE,IF(AR197+AS197=0,0,AR197+AS197),ROUND(IF(데이터입력!$AF$14=100%,ROUND(AR197*$AR$1,-3),ROUND(AR197*$AR$1,-3)-ROUND(((AR197*$AR$1)*$AT$4)*(데이터입력!$AF$14-100%)+((AR197*$AR$1)*$AU$4)*(데이터입력!$AF$14-100%)+((AR197*$AR$1)*$AU$4*$AV$4)*(데이터입력!$AF$14-100%)+((AR197*$AR$1)*$AW$4)*(데이터입력!$AF$14-100%),-1)),0)),0)</f>
        <v>0</v>
      </c>
      <c r="AZ197" s="977">
        <f>IFERROR(IF(AR197+AS197=0,0,IF(데이터입력!$AF$12=100%,(AT197),(AT197)+ROUND(AT197*(데이터입력!$AF$12-100%),-1))),0)</f>
        <v>0</v>
      </c>
      <c r="BA197" s="1097" t="str">
        <f>IFERROR(IF(AZ197=0,"",IF(AND(예산실적비교표!AP197&gt;0,예산실적비교표!AW197=0),"",ROUND(AZ197/12,0))),"")</f>
        <v/>
      </c>
      <c r="BB197" s="1096" t="str">
        <f>IF(BA197="","",IF(데이터입력!$O$70="",ROUND(AZ197/12,0),ROUND(데이터입력!$O$70/데이터입력!$Y$8/$BC$63,0)))</f>
        <v/>
      </c>
    </row>
    <row r="198" spans="42:54">
      <c r="AP198" s="1035" t="str">
        <f>IF(예산실적비교표!AL198&lt;&gt;"",예산실적비교표!AL198,"")</f>
        <v/>
      </c>
      <c r="AQ198" s="1036" t="str">
        <f>IF(예산실적비교표!AM198&lt;&gt;"",예산실적비교표!AM198,"")</f>
        <v/>
      </c>
      <c r="AR198" s="1037">
        <f>IF(AND(예산실적비교표!AN198&lt;&gt;"",예산실적비교표!AN198&gt;1),예산실적비교표!AN198,0)</f>
        <v>0</v>
      </c>
      <c r="AS198" s="1038">
        <f>IF(예산실적비교표!AO198&lt;&gt;"",예산실적비교표!AO198,0)</f>
        <v>0</v>
      </c>
      <c r="AT198" s="971">
        <f t="shared" si="40"/>
        <v>0</v>
      </c>
      <c r="AU198" s="1039">
        <f>IF(예산실적비교표!AQ198&lt;&gt;"",예산실적비교표!AQ198,0)</f>
        <v>0</v>
      </c>
      <c r="AV198" s="973">
        <f t="shared" si="41"/>
        <v>0</v>
      </c>
      <c r="AW198" s="974">
        <f>IF(AR198="",0,ROUND((AT198*$AT$7)*데이터입력!$AF$14+(AT198*$AU$7)*데이터입력!$AF$14+(AT198*$AU$7*$AV$7)*데이터입력!$AF$14+(AT198*$AW$7)*데이터입력!$AF$14+(AT198*$AX$7)*데이터입력!$AF$14,-1))</f>
        <v>0</v>
      </c>
      <c r="AX198" s="975">
        <f t="shared" si="42"/>
        <v>0</v>
      </c>
      <c r="AY198" s="976">
        <f>IFERROR(IF($AE$2=TRUE,IF(AR198+AS198=0,0,AR198+AS198),ROUND(IF(데이터입력!$AF$14=100%,ROUND(AR198*$AR$1,-3),ROUND(AR198*$AR$1,-3)-ROUND(((AR198*$AR$1)*$AT$4)*(데이터입력!$AF$14-100%)+((AR198*$AR$1)*$AU$4)*(데이터입력!$AF$14-100%)+((AR198*$AR$1)*$AU$4*$AV$4)*(데이터입력!$AF$14-100%)+((AR198*$AR$1)*$AW$4)*(데이터입력!$AF$14-100%),-1)),0)),0)</f>
        <v>0</v>
      </c>
      <c r="AZ198" s="977">
        <f>IFERROR(IF(AR198+AS198=0,0,IF(데이터입력!$AF$12=100%,(AT198),(AT198)+ROUND(AT198*(데이터입력!$AF$12-100%),-1))),0)</f>
        <v>0</v>
      </c>
      <c r="BA198" s="1097" t="str">
        <f>IFERROR(IF(AZ198=0,"",IF(AND(예산실적비교표!AP198&gt;0,예산실적비교표!AW198=0),"",ROUND(AZ198/12,0))),"")</f>
        <v/>
      </c>
      <c r="BB198" s="1096" t="str">
        <f>IF(BA198="","",IF(데이터입력!$O$70="",ROUND(AZ198/12,0),ROUND(데이터입력!$O$70/데이터입력!$Y$8/$BC$63,0)))</f>
        <v/>
      </c>
    </row>
    <row r="199" spans="42:54">
      <c r="AP199" s="1035" t="str">
        <f>IF(예산실적비교표!AL199&lt;&gt;"",예산실적비교표!AL199,"")</f>
        <v/>
      </c>
      <c r="AQ199" s="1036" t="str">
        <f>IF(예산실적비교표!AM199&lt;&gt;"",예산실적비교표!AM199,"")</f>
        <v/>
      </c>
      <c r="AR199" s="1037">
        <f>IF(AND(예산실적비교표!AN199&lt;&gt;"",예산실적비교표!AN199&gt;1),예산실적비교표!AN199,0)</f>
        <v>0</v>
      </c>
      <c r="AS199" s="1038">
        <f>IF(예산실적비교표!AO199&lt;&gt;"",예산실적비교표!AO199,0)</f>
        <v>0</v>
      </c>
      <c r="AT199" s="971">
        <f t="shared" si="40"/>
        <v>0</v>
      </c>
      <c r="AU199" s="1039">
        <f>IF(예산실적비교표!AQ199&lt;&gt;"",예산실적비교표!AQ199,0)</f>
        <v>0</v>
      </c>
      <c r="AV199" s="973">
        <f t="shared" si="41"/>
        <v>0</v>
      </c>
      <c r="AW199" s="974">
        <f>IF(AR199="",0,ROUND((AT199*$AT$7)*데이터입력!$AF$14+(AT199*$AU$7)*데이터입력!$AF$14+(AT199*$AU$7*$AV$7)*데이터입력!$AF$14+(AT199*$AW$7)*데이터입력!$AF$14+(AT199*$AX$7)*데이터입력!$AF$14,-1))</f>
        <v>0</v>
      </c>
      <c r="AX199" s="975">
        <f t="shared" si="42"/>
        <v>0</v>
      </c>
      <c r="AY199" s="976">
        <f>IFERROR(IF($AE$2=TRUE,IF(AR199+AS199=0,0,AR199+AS199),ROUND(IF(데이터입력!$AF$14=100%,ROUND(AR199*$AR$1,-3),ROUND(AR199*$AR$1,-3)-ROUND(((AR199*$AR$1)*$AT$4)*(데이터입력!$AF$14-100%)+((AR199*$AR$1)*$AU$4)*(데이터입력!$AF$14-100%)+((AR199*$AR$1)*$AU$4*$AV$4)*(데이터입력!$AF$14-100%)+((AR199*$AR$1)*$AW$4)*(데이터입력!$AF$14-100%),-1)),0)),0)</f>
        <v>0</v>
      </c>
      <c r="AZ199" s="977">
        <f>IFERROR(IF(AR199+AS199=0,0,IF(데이터입력!$AF$12=100%,(AT199),(AT199)+ROUND(AT199*(데이터입력!$AF$12-100%),-1))),0)</f>
        <v>0</v>
      </c>
      <c r="BA199" s="1097" t="str">
        <f>IFERROR(IF(AZ199=0,"",IF(AND(예산실적비교표!AP199&gt;0,예산실적비교표!AW199=0),"",ROUND(AZ199/12,0))),"")</f>
        <v/>
      </c>
      <c r="BB199" s="1096" t="str">
        <f>IF(BA199="","",IF(데이터입력!$O$70="",ROUND(AZ199/12,0),ROUND(데이터입력!$O$70/데이터입력!$Y$8/$BC$63,0)))</f>
        <v/>
      </c>
    </row>
    <row r="200" spans="42:54">
      <c r="AP200" s="1035" t="str">
        <f>IF(예산실적비교표!AL200&lt;&gt;"",예산실적비교표!AL200,"")</f>
        <v/>
      </c>
      <c r="AQ200" s="1036" t="str">
        <f>IF(예산실적비교표!AM200&lt;&gt;"",예산실적비교표!AM200,"")</f>
        <v/>
      </c>
      <c r="AR200" s="1037">
        <f>IF(AND(예산실적비교표!AN200&lt;&gt;"",예산실적비교표!AN200&gt;1),예산실적비교표!AN200,0)</f>
        <v>0</v>
      </c>
      <c r="AS200" s="1038">
        <f>IF(예산실적비교표!AO200&lt;&gt;"",예산실적비교표!AO200,0)</f>
        <v>0</v>
      </c>
      <c r="AT200" s="971">
        <f t="shared" si="40"/>
        <v>0</v>
      </c>
      <c r="AU200" s="1039">
        <f>IF(예산실적비교표!AQ200&lt;&gt;"",예산실적비교표!AQ200,0)</f>
        <v>0</v>
      </c>
      <c r="AV200" s="973">
        <f t="shared" si="41"/>
        <v>0</v>
      </c>
      <c r="AW200" s="974">
        <f>IF(AR200="",0,ROUND((AT200*$AT$7)*데이터입력!$AF$14+(AT200*$AU$7)*데이터입력!$AF$14+(AT200*$AU$7*$AV$7)*데이터입력!$AF$14+(AT200*$AW$7)*데이터입력!$AF$14+(AT200*$AX$7)*데이터입력!$AF$14,-1))</f>
        <v>0</v>
      </c>
      <c r="AX200" s="975">
        <f t="shared" si="42"/>
        <v>0</v>
      </c>
      <c r="AY200" s="976">
        <f>IFERROR(IF($AE$2=TRUE,IF(AR200+AS200=0,0,AR200+AS200),ROUND(IF(데이터입력!$AF$14=100%,ROUND(AR200*$AR$1,-3),ROUND(AR200*$AR$1,-3)-ROUND(((AR200*$AR$1)*$AT$4)*(데이터입력!$AF$14-100%)+((AR200*$AR$1)*$AU$4)*(데이터입력!$AF$14-100%)+((AR200*$AR$1)*$AU$4*$AV$4)*(데이터입력!$AF$14-100%)+((AR200*$AR$1)*$AW$4)*(데이터입력!$AF$14-100%),-1)),0)),0)</f>
        <v>0</v>
      </c>
      <c r="AZ200" s="977">
        <f>IFERROR(IF(AR200+AS200=0,0,IF(데이터입력!$AF$12=100%,(AT200),(AT200)+ROUND(AT200*(데이터입력!$AF$12-100%),-1))),0)</f>
        <v>0</v>
      </c>
      <c r="BA200" s="1097" t="str">
        <f>IFERROR(IF(AZ200=0,"",IF(AND(예산실적비교표!AP200&gt;0,예산실적비교표!AW200=0),"",ROUND(AZ200/12,0))),"")</f>
        <v/>
      </c>
      <c r="BB200" s="1096" t="str">
        <f>IF(BA200="","",IF(데이터입력!$O$70="",ROUND(AZ200/12,0),ROUND(데이터입력!$O$70/데이터입력!$Y$8/$BC$63,0)))</f>
        <v/>
      </c>
    </row>
    <row r="201" spans="42:54">
      <c r="AP201" s="1035" t="str">
        <f>IF(예산실적비교표!AL201&lt;&gt;"",예산실적비교표!AL201,"")</f>
        <v/>
      </c>
      <c r="AQ201" s="1036" t="str">
        <f>IF(예산실적비교표!AM201&lt;&gt;"",예산실적비교표!AM201,"")</f>
        <v/>
      </c>
      <c r="AR201" s="1037">
        <f>IF(AND(예산실적비교표!AN201&lt;&gt;"",예산실적비교표!AN201&gt;1),예산실적비교표!AN201,0)</f>
        <v>0</v>
      </c>
      <c r="AS201" s="1038">
        <f>IF(예산실적비교표!AO201&lt;&gt;"",예산실적비교표!AO201,0)</f>
        <v>0</v>
      </c>
      <c r="AT201" s="971">
        <f t="shared" si="40"/>
        <v>0</v>
      </c>
      <c r="AU201" s="1039">
        <f>IF(예산실적비교표!AQ201&lt;&gt;"",예산실적비교표!AQ201,0)</f>
        <v>0</v>
      </c>
      <c r="AV201" s="973">
        <f t="shared" si="41"/>
        <v>0</v>
      </c>
      <c r="AW201" s="974">
        <f>IF(AR201="",0,ROUND((AT201*$AT$7)*데이터입력!$AF$14+(AT201*$AU$7)*데이터입력!$AF$14+(AT201*$AU$7*$AV$7)*데이터입력!$AF$14+(AT201*$AW$7)*데이터입력!$AF$14+(AT201*$AX$7)*데이터입력!$AF$14,-1))</f>
        <v>0</v>
      </c>
      <c r="AX201" s="975">
        <f t="shared" si="42"/>
        <v>0</v>
      </c>
      <c r="AY201" s="976">
        <f>IFERROR(IF($AE$2=TRUE,IF(AR201+AS201=0,0,AR201+AS201),ROUND(IF(데이터입력!$AF$14=100%,ROUND(AR201*$AR$1,-3),ROUND(AR201*$AR$1,-3)-ROUND(((AR201*$AR$1)*$AT$4)*(데이터입력!$AF$14-100%)+((AR201*$AR$1)*$AU$4)*(데이터입력!$AF$14-100%)+((AR201*$AR$1)*$AU$4*$AV$4)*(데이터입력!$AF$14-100%)+((AR201*$AR$1)*$AW$4)*(데이터입력!$AF$14-100%),-1)),0)),0)</f>
        <v>0</v>
      </c>
      <c r="AZ201" s="977">
        <f>IFERROR(IF(AR201+AS201=0,0,IF(데이터입력!$AF$12=100%,(AT201),(AT201)+ROUND(AT201*(데이터입력!$AF$12-100%),-1))),0)</f>
        <v>0</v>
      </c>
      <c r="BA201" s="1097" t="str">
        <f>IFERROR(IF(AZ201=0,"",IF(AND(예산실적비교표!AP201&gt;0,예산실적비교표!AW201=0),"",ROUND(AZ201/12,0))),"")</f>
        <v/>
      </c>
      <c r="BB201" s="1096" t="str">
        <f>IF(BA201="","",IF(데이터입력!$O$70="",ROUND(AZ201/12,0),ROUND(데이터입력!$O$70/데이터입력!$Y$8/$BC$63,0)))</f>
        <v/>
      </c>
    </row>
    <row r="202" spans="42:54">
      <c r="AP202" s="1035" t="str">
        <f>IF(예산실적비교표!AL202&lt;&gt;"",예산실적비교표!AL202,"")</f>
        <v/>
      </c>
      <c r="AQ202" s="1036" t="str">
        <f>IF(예산실적비교표!AM202&lt;&gt;"",예산실적비교표!AM202,"")</f>
        <v/>
      </c>
      <c r="AR202" s="1037">
        <f>IF(AND(예산실적비교표!AN202&lt;&gt;"",예산실적비교표!AN202&gt;1),예산실적비교표!AN202,0)</f>
        <v>0</v>
      </c>
      <c r="AS202" s="1038">
        <f>IF(예산실적비교표!AO202&lt;&gt;"",예산실적비교표!AO202,0)</f>
        <v>0</v>
      </c>
      <c r="AT202" s="971">
        <f t="shared" si="40"/>
        <v>0</v>
      </c>
      <c r="AU202" s="1039">
        <f>IF(예산실적비교표!AQ202&lt;&gt;"",예산실적비교표!AQ202,0)</f>
        <v>0</v>
      </c>
      <c r="AV202" s="973">
        <f t="shared" si="41"/>
        <v>0</v>
      </c>
      <c r="AW202" s="974">
        <f>IF(AR202="",0,ROUND((AT202*$AT$7)*데이터입력!$AF$14+(AT202*$AU$7)*데이터입력!$AF$14+(AT202*$AU$7*$AV$7)*데이터입력!$AF$14+(AT202*$AW$7)*데이터입력!$AF$14+(AT202*$AX$7)*데이터입력!$AF$14,-1))</f>
        <v>0</v>
      </c>
      <c r="AX202" s="975">
        <f t="shared" si="42"/>
        <v>0</v>
      </c>
      <c r="AY202" s="976">
        <f>IFERROR(IF($AE$2=TRUE,IF(AR202+AS202=0,0,AR202+AS202),ROUND(IF(데이터입력!$AF$14=100%,ROUND(AR202*$AR$1,-3),ROUND(AR202*$AR$1,-3)-ROUND(((AR202*$AR$1)*$AT$4)*(데이터입력!$AF$14-100%)+((AR202*$AR$1)*$AU$4)*(데이터입력!$AF$14-100%)+((AR202*$AR$1)*$AU$4*$AV$4)*(데이터입력!$AF$14-100%)+((AR202*$AR$1)*$AW$4)*(데이터입력!$AF$14-100%),-1)),0)),0)</f>
        <v>0</v>
      </c>
      <c r="AZ202" s="977">
        <f>IFERROR(IF(AR202+AS202=0,0,IF(데이터입력!$AF$12=100%,(AT202),(AT202)+ROUND(AT202*(데이터입력!$AF$12-100%),-1))),0)</f>
        <v>0</v>
      </c>
      <c r="BA202" s="1097" t="str">
        <f>IFERROR(IF(AZ202=0,"",IF(AND(예산실적비교표!AP202&gt;0,예산실적비교표!AW202=0),"",ROUND(AZ202/12,0))),"")</f>
        <v/>
      </c>
      <c r="BB202" s="1096" t="str">
        <f>IF(BA202="","",IF(데이터입력!$O$70="",ROUND(AZ202/12,0),ROUND(데이터입력!$O$70/데이터입력!$Y$8/$BC$63,0)))</f>
        <v/>
      </c>
    </row>
    <row r="203" spans="42:54">
      <c r="AP203" s="1035" t="str">
        <f>IF(예산실적비교표!AL203&lt;&gt;"",예산실적비교표!AL203,"")</f>
        <v/>
      </c>
      <c r="AQ203" s="1036" t="str">
        <f>IF(예산실적비교표!AM203&lt;&gt;"",예산실적비교표!AM203,"")</f>
        <v/>
      </c>
      <c r="AR203" s="1037">
        <f>IF(AND(예산실적비교표!AN203&lt;&gt;"",예산실적비교표!AN203&gt;1),예산실적비교표!AN203,0)</f>
        <v>0</v>
      </c>
      <c r="AS203" s="1038">
        <f>IF(예산실적비교표!AO203&lt;&gt;"",예산실적비교표!AO203,0)</f>
        <v>0</v>
      </c>
      <c r="AT203" s="971">
        <f t="shared" si="40"/>
        <v>0</v>
      </c>
      <c r="AU203" s="1039">
        <f>IF(예산실적비교표!AQ203&lt;&gt;"",예산실적비교표!AQ203,0)</f>
        <v>0</v>
      </c>
      <c r="AV203" s="973">
        <f t="shared" si="41"/>
        <v>0</v>
      </c>
      <c r="AW203" s="974">
        <f>IF(AR203="",0,ROUND((AT203*$AT$7)*데이터입력!$AF$14+(AT203*$AU$7)*데이터입력!$AF$14+(AT203*$AU$7*$AV$7)*데이터입력!$AF$14+(AT203*$AW$7)*데이터입력!$AF$14+(AT203*$AX$7)*데이터입력!$AF$14,-1))</f>
        <v>0</v>
      </c>
      <c r="AX203" s="975">
        <f t="shared" si="42"/>
        <v>0</v>
      </c>
      <c r="AY203" s="976">
        <f>IFERROR(IF($AE$2=TRUE,IF(AR203+AS203=0,0,AR203+AS203),ROUND(IF(데이터입력!$AF$14=100%,ROUND(AR203*$AR$1,-3),ROUND(AR203*$AR$1,-3)-ROUND(((AR203*$AR$1)*$AT$4)*(데이터입력!$AF$14-100%)+((AR203*$AR$1)*$AU$4)*(데이터입력!$AF$14-100%)+((AR203*$AR$1)*$AU$4*$AV$4)*(데이터입력!$AF$14-100%)+((AR203*$AR$1)*$AW$4)*(데이터입력!$AF$14-100%),-1)),0)),0)</f>
        <v>0</v>
      </c>
      <c r="AZ203" s="977">
        <f>IFERROR(IF(AR203+AS203=0,0,IF(데이터입력!$AF$12=100%,(AT203),(AT203)+ROUND(AT203*(데이터입력!$AF$12-100%),-1))),0)</f>
        <v>0</v>
      </c>
      <c r="BA203" s="1097" t="str">
        <f>IFERROR(IF(AZ203=0,"",IF(AND(예산실적비교표!AP203&gt;0,예산실적비교표!AW203=0),"",ROUND(AZ203/12,0))),"")</f>
        <v/>
      </c>
      <c r="BB203" s="1096" t="str">
        <f>IF(BA203="","",IF(데이터입력!$O$70="",ROUND(AZ203/12,0),ROUND(데이터입력!$O$70/데이터입력!$Y$8/$BC$63,0)))</f>
        <v/>
      </c>
    </row>
    <row r="204" spans="42:54">
      <c r="AP204" s="1035" t="str">
        <f>IF(예산실적비교표!AL204&lt;&gt;"",예산실적비교표!AL204,"")</f>
        <v/>
      </c>
      <c r="AQ204" s="1036" t="str">
        <f>IF(예산실적비교표!AM204&lt;&gt;"",예산실적비교표!AM204,"")</f>
        <v/>
      </c>
      <c r="AR204" s="1037">
        <f>IF(AND(예산실적비교표!AN204&lt;&gt;"",예산실적비교표!AN204&gt;1),예산실적비교표!AN204,0)</f>
        <v>0</v>
      </c>
      <c r="AS204" s="1038">
        <f>IF(예산실적비교표!AO204&lt;&gt;"",예산실적비교표!AO204,0)</f>
        <v>0</v>
      </c>
      <c r="AT204" s="971">
        <f t="shared" si="40"/>
        <v>0</v>
      </c>
      <c r="AU204" s="1039">
        <f>IF(예산실적비교표!AQ204&lt;&gt;"",예산실적비교표!AQ204,0)</f>
        <v>0</v>
      </c>
      <c r="AV204" s="973">
        <f t="shared" si="41"/>
        <v>0</v>
      </c>
      <c r="AW204" s="974">
        <f>IF(AR204="",0,ROUND((AT204*$AT$7)*데이터입력!$AF$14+(AT204*$AU$7)*데이터입력!$AF$14+(AT204*$AU$7*$AV$7)*데이터입력!$AF$14+(AT204*$AW$7)*데이터입력!$AF$14+(AT204*$AX$7)*데이터입력!$AF$14,-1))</f>
        <v>0</v>
      </c>
      <c r="AX204" s="975">
        <f t="shared" si="42"/>
        <v>0</v>
      </c>
      <c r="AY204" s="976">
        <f>IFERROR(IF($AE$2=TRUE,IF(AR204+AS204=0,0,AR204+AS204),ROUND(IF(데이터입력!$AF$14=100%,ROUND(AR204*$AR$1,-3),ROUND(AR204*$AR$1,-3)-ROUND(((AR204*$AR$1)*$AT$4)*(데이터입력!$AF$14-100%)+((AR204*$AR$1)*$AU$4)*(데이터입력!$AF$14-100%)+((AR204*$AR$1)*$AU$4*$AV$4)*(데이터입력!$AF$14-100%)+((AR204*$AR$1)*$AW$4)*(데이터입력!$AF$14-100%),-1)),0)),0)</f>
        <v>0</v>
      </c>
      <c r="AZ204" s="977">
        <f>IFERROR(IF(AR204+AS204=0,0,IF(데이터입력!$AF$12=100%,(AT204),(AT204)+ROUND(AT204*(데이터입력!$AF$12-100%),-1))),0)</f>
        <v>0</v>
      </c>
      <c r="BA204" s="1097" t="str">
        <f>IFERROR(IF(AZ204=0,"",IF(AND(예산실적비교표!AP204&gt;0,예산실적비교표!AW204=0),"",ROUND(AZ204/12,0))),"")</f>
        <v/>
      </c>
      <c r="BB204" s="1096" t="str">
        <f>IF(BA204="","",IF(데이터입력!$O$70="",ROUND(AZ204/12,0),ROUND(데이터입력!$O$70/데이터입력!$Y$8/$BC$63,0)))</f>
        <v/>
      </c>
    </row>
    <row r="205" spans="42:54">
      <c r="AP205" s="1035" t="str">
        <f>IF(예산실적비교표!AL205&lt;&gt;"",예산실적비교표!AL205,"")</f>
        <v/>
      </c>
      <c r="AQ205" s="1036" t="str">
        <f>IF(예산실적비교표!AM205&lt;&gt;"",예산실적비교표!AM205,"")</f>
        <v/>
      </c>
      <c r="AR205" s="1037">
        <f>IF(AND(예산실적비교표!AN205&lt;&gt;"",예산실적비교표!AN205&gt;1),예산실적비교표!AN205,0)</f>
        <v>0</v>
      </c>
      <c r="AS205" s="1038">
        <f>IF(예산실적비교표!AO205&lt;&gt;"",예산실적비교표!AO205,0)</f>
        <v>0</v>
      </c>
      <c r="AT205" s="971">
        <f t="shared" si="40"/>
        <v>0</v>
      </c>
      <c r="AU205" s="1039">
        <f>IF(예산실적비교표!AQ205&lt;&gt;"",예산실적비교표!AQ205,0)</f>
        <v>0</v>
      </c>
      <c r="AV205" s="973">
        <f t="shared" si="41"/>
        <v>0</v>
      </c>
      <c r="AW205" s="974">
        <f>IF(AR205="",0,ROUND((AT205*$AT$7)*데이터입력!$AF$14+(AT205*$AU$7)*데이터입력!$AF$14+(AT205*$AU$7*$AV$7)*데이터입력!$AF$14+(AT205*$AW$7)*데이터입력!$AF$14+(AT205*$AX$7)*데이터입력!$AF$14,-1))</f>
        <v>0</v>
      </c>
      <c r="AX205" s="975">
        <f t="shared" si="42"/>
        <v>0</v>
      </c>
      <c r="AY205" s="976">
        <f>IFERROR(IF($AE$2=TRUE,IF(AR205+AS205=0,0,AR205+AS205),ROUND(IF(데이터입력!$AF$14=100%,ROUND(AR205*$AR$1,-3),ROUND(AR205*$AR$1,-3)-ROUND(((AR205*$AR$1)*$AT$4)*(데이터입력!$AF$14-100%)+((AR205*$AR$1)*$AU$4)*(데이터입력!$AF$14-100%)+((AR205*$AR$1)*$AU$4*$AV$4)*(데이터입력!$AF$14-100%)+((AR205*$AR$1)*$AW$4)*(데이터입력!$AF$14-100%),-1)),0)),0)</f>
        <v>0</v>
      </c>
      <c r="AZ205" s="977">
        <f>IFERROR(IF(AR205+AS205=0,0,IF(데이터입력!$AF$12=100%,(AT205),(AT205)+ROUND(AT205*(데이터입력!$AF$12-100%),-1))),0)</f>
        <v>0</v>
      </c>
      <c r="BA205" s="1097" t="str">
        <f>IFERROR(IF(AZ205=0,"",IF(AND(예산실적비교표!AP205&gt;0,예산실적비교표!AW205=0),"",ROUND(AZ205/12,0))),"")</f>
        <v/>
      </c>
      <c r="BB205" s="1096" t="str">
        <f>IF(BA205="","",IF(데이터입력!$O$70="",ROUND(AZ205/12,0),ROUND(데이터입력!$O$70/데이터입력!$Y$8/$BC$63,0)))</f>
        <v/>
      </c>
    </row>
    <row r="206" spans="42:54">
      <c r="AP206" s="1035" t="str">
        <f>IF(예산실적비교표!AL206&lt;&gt;"",예산실적비교표!AL206,"")</f>
        <v/>
      </c>
      <c r="AQ206" s="1036" t="str">
        <f>IF(예산실적비교표!AM206&lt;&gt;"",예산실적비교표!AM206,"")</f>
        <v/>
      </c>
      <c r="AR206" s="1037">
        <f>IF(AND(예산실적비교표!AN206&lt;&gt;"",예산실적비교표!AN206&gt;1),예산실적비교표!AN206,0)</f>
        <v>0</v>
      </c>
      <c r="AS206" s="1038">
        <f>IF(예산실적비교표!AO206&lt;&gt;"",예산실적비교표!AO206,0)</f>
        <v>0</v>
      </c>
      <c r="AT206" s="971">
        <f t="shared" si="40"/>
        <v>0</v>
      </c>
      <c r="AU206" s="1039">
        <f>IF(예산실적비교표!AQ206&lt;&gt;"",예산실적비교표!AQ206,0)</f>
        <v>0</v>
      </c>
      <c r="AV206" s="973">
        <f t="shared" si="41"/>
        <v>0</v>
      </c>
      <c r="AW206" s="974">
        <f>IF(AR206="",0,ROUND((AT206*$AT$7)*데이터입력!$AF$14+(AT206*$AU$7)*데이터입력!$AF$14+(AT206*$AU$7*$AV$7)*데이터입력!$AF$14+(AT206*$AW$7)*데이터입력!$AF$14+(AT206*$AX$7)*데이터입력!$AF$14,-1))</f>
        <v>0</v>
      </c>
      <c r="AX206" s="975">
        <f t="shared" si="42"/>
        <v>0</v>
      </c>
      <c r="AY206" s="976">
        <f>IFERROR(IF($AE$2=TRUE,IF(AR206+AS206=0,0,AR206+AS206),ROUND(IF(데이터입력!$AF$14=100%,ROUND(AR206*$AR$1,-3),ROUND(AR206*$AR$1,-3)-ROUND(((AR206*$AR$1)*$AT$4)*(데이터입력!$AF$14-100%)+((AR206*$AR$1)*$AU$4)*(데이터입력!$AF$14-100%)+((AR206*$AR$1)*$AU$4*$AV$4)*(데이터입력!$AF$14-100%)+((AR206*$AR$1)*$AW$4)*(데이터입력!$AF$14-100%),-1)),0)),0)</f>
        <v>0</v>
      </c>
      <c r="AZ206" s="977">
        <f>IFERROR(IF(AR206+AS206=0,0,IF(데이터입력!$AF$12=100%,(AT206),(AT206)+ROUND(AT206*(데이터입력!$AF$12-100%),-1))),0)</f>
        <v>0</v>
      </c>
      <c r="BA206" s="1097" t="str">
        <f>IFERROR(IF(AZ206=0,"",IF(AND(예산실적비교표!AP206&gt;0,예산실적비교표!AW206=0),"",ROUND(AZ206/12,0))),"")</f>
        <v/>
      </c>
      <c r="BB206" s="1096" t="str">
        <f>IF(BA206="","",IF(데이터입력!$O$70="",ROUND(AZ206/12,0),ROUND(데이터입력!$O$70/데이터입력!$Y$8/$BC$63,0)))</f>
        <v/>
      </c>
    </row>
    <row r="207" spans="42:54">
      <c r="AP207" s="1035" t="str">
        <f>IF(예산실적비교표!AL207&lt;&gt;"",예산실적비교표!AL207,"")</f>
        <v/>
      </c>
      <c r="AQ207" s="1036" t="str">
        <f>IF(예산실적비교표!AM207&lt;&gt;"",예산실적비교표!AM207,"")</f>
        <v/>
      </c>
      <c r="AR207" s="1037">
        <f>IF(AND(예산실적비교표!AN207&lt;&gt;"",예산실적비교표!AN207&gt;1),예산실적비교표!AN207,0)</f>
        <v>0</v>
      </c>
      <c r="AS207" s="1038">
        <f>IF(예산실적비교표!AO207&lt;&gt;"",예산실적비교표!AO207,0)</f>
        <v>0</v>
      </c>
      <c r="AT207" s="971">
        <f t="shared" si="40"/>
        <v>0</v>
      </c>
      <c r="AU207" s="1039">
        <f>IF(예산실적비교표!AQ207&lt;&gt;"",예산실적비교표!AQ207,0)</f>
        <v>0</v>
      </c>
      <c r="AV207" s="973">
        <f t="shared" si="41"/>
        <v>0</v>
      </c>
      <c r="AW207" s="974">
        <f>IF(AR207="",0,ROUND((AT207*$AT$7)*데이터입력!$AF$14+(AT207*$AU$7)*데이터입력!$AF$14+(AT207*$AU$7*$AV$7)*데이터입력!$AF$14+(AT207*$AW$7)*데이터입력!$AF$14+(AT207*$AX$7)*데이터입력!$AF$14,-1))</f>
        <v>0</v>
      </c>
      <c r="AX207" s="975">
        <f t="shared" si="42"/>
        <v>0</v>
      </c>
      <c r="AY207" s="976">
        <f>IFERROR(IF($AE$2=TRUE,IF(AR207+AS207=0,0,AR207+AS207),ROUND(IF(데이터입력!$AF$14=100%,ROUND(AR207*$AR$1,-3),ROUND(AR207*$AR$1,-3)-ROUND(((AR207*$AR$1)*$AT$4)*(데이터입력!$AF$14-100%)+((AR207*$AR$1)*$AU$4)*(데이터입력!$AF$14-100%)+((AR207*$AR$1)*$AU$4*$AV$4)*(데이터입력!$AF$14-100%)+((AR207*$AR$1)*$AW$4)*(데이터입력!$AF$14-100%),-1)),0)),0)</f>
        <v>0</v>
      </c>
      <c r="AZ207" s="977">
        <f>IFERROR(IF(AR207+AS207=0,0,IF(데이터입력!$AF$12=100%,(AT207),(AT207)+ROUND(AT207*(데이터입력!$AF$12-100%),-1))),0)</f>
        <v>0</v>
      </c>
      <c r="BA207" s="1097" t="str">
        <f>IFERROR(IF(AZ207=0,"",IF(AND(예산실적비교표!AP207&gt;0,예산실적비교표!AW207=0),"",ROUND(AZ207/12,0))),"")</f>
        <v/>
      </c>
      <c r="BB207" s="1096" t="str">
        <f>IF(BA207="","",IF(데이터입력!$O$70="",ROUND(AZ207/12,0),ROUND(데이터입력!$O$70/데이터입력!$Y$8/$BC$63,0)))</f>
        <v/>
      </c>
    </row>
    <row r="208" spans="42:54">
      <c r="AP208" s="1035" t="str">
        <f>IF(예산실적비교표!AL208&lt;&gt;"",예산실적비교표!AL208,"")</f>
        <v/>
      </c>
      <c r="AQ208" s="1036" t="str">
        <f>IF(예산실적비교표!AM208&lt;&gt;"",예산실적비교표!AM208,"")</f>
        <v/>
      </c>
      <c r="AR208" s="1037">
        <f>IF(AND(예산실적비교표!AN208&lt;&gt;"",예산실적비교표!AN208&gt;1),예산실적비교표!AN208,0)</f>
        <v>0</v>
      </c>
      <c r="AS208" s="1038">
        <f>IF(예산실적비교표!AO208&lt;&gt;"",예산실적비교표!AO208,0)</f>
        <v>0</v>
      </c>
      <c r="AT208" s="971">
        <f t="shared" si="40"/>
        <v>0</v>
      </c>
      <c r="AU208" s="1039">
        <f>IF(예산실적비교표!AQ208&lt;&gt;"",예산실적비교표!AQ208,0)</f>
        <v>0</v>
      </c>
      <c r="AV208" s="973">
        <f t="shared" si="41"/>
        <v>0</v>
      </c>
      <c r="AW208" s="974">
        <f>IF(AR208="",0,ROUND((AT208*$AT$7)*데이터입력!$AF$14+(AT208*$AU$7)*데이터입력!$AF$14+(AT208*$AU$7*$AV$7)*데이터입력!$AF$14+(AT208*$AW$7)*데이터입력!$AF$14+(AT208*$AX$7)*데이터입력!$AF$14,-1))</f>
        <v>0</v>
      </c>
      <c r="AX208" s="975">
        <f t="shared" si="42"/>
        <v>0</v>
      </c>
      <c r="AY208" s="976">
        <f>IFERROR(IF($AE$2=TRUE,IF(AR208+AS208=0,0,AR208+AS208),ROUND(IF(데이터입력!$AF$14=100%,ROUND(AR208*$AR$1,-3),ROUND(AR208*$AR$1,-3)-ROUND(((AR208*$AR$1)*$AT$4)*(데이터입력!$AF$14-100%)+((AR208*$AR$1)*$AU$4)*(데이터입력!$AF$14-100%)+((AR208*$AR$1)*$AU$4*$AV$4)*(데이터입력!$AF$14-100%)+((AR208*$AR$1)*$AW$4)*(데이터입력!$AF$14-100%),-1)),0)),0)</f>
        <v>0</v>
      </c>
      <c r="AZ208" s="977">
        <f>IFERROR(IF(AR208+AS208=0,0,IF(데이터입력!$AF$12=100%,(AT208),(AT208)+ROUND(AT208*(데이터입력!$AF$12-100%),-1))),0)</f>
        <v>0</v>
      </c>
      <c r="BA208" s="1097" t="str">
        <f>IFERROR(IF(AZ208=0,"",IF(AND(예산실적비교표!AP208&gt;0,예산실적비교표!AW208=0),"",ROUND(AZ208/12,0))),"")</f>
        <v/>
      </c>
      <c r="BB208" s="1096" t="str">
        <f>IF(BA208="","",IF(데이터입력!$O$70="",ROUND(AZ208/12,0),ROUND(데이터입력!$O$70/데이터입력!$Y$8/$BC$63,0)))</f>
        <v/>
      </c>
    </row>
    <row r="209" spans="42:54">
      <c r="AP209" s="1035" t="str">
        <f>IF(예산실적비교표!AL209&lt;&gt;"",예산실적비교표!AL209,"")</f>
        <v/>
      </c>
      <c r="AQ209" s="1036" t="str">
        <f>IF(예산실적비교표!AM209&lt;&gt;"",예산실적비교표!AM209,"")</f>
        <v/>
      </c>
      <c r="AR209" s="1037">
        <f>IF(AND(예산실적비교표!AN209&lt;&gt;"",예산실적비교표!AN209&gt;1),예산실적비교표!AN209,0)</f>
        <v>0</v>
      </c>
      <c r="AS209" s="1038">
        <f>IF(예산실적비교표!AO209&lt;&gt;"",예산실적비교표!AO209,0)</f>
        <v>0</v>
      </c>
      <c r="AT209" s="971">
        <f t="shared" si="40"/>
        <v>0</v>
      </c>
      <c r="AU209" s="1039">
        <f>IF(예산실적비교표!AQ209&lt;&gt;"",예산실적비교표!AQ209,0)</f>
        <v>0</v>
      </c>
      <c r="AV209" s="973">
        <f t="shared" si="41"/>
        <v>0</v>
      </c>
      <c r="AW209" s="974">
        <f>IF(AR209="",0,ROUND((AT209*$AT$7)*데이터입력!$AF$14+(AT209*$AU$7)*데이터입력!$AF$14+(AT209*$AU$7*$AV$7)*데이터입력!$AF$14+(AT209*$AW$7)*데이터입력!$AF$14+(AT209*$AX$7)*데이터입력!$AF$14,-1))</f>
        <v>0</v>
      </c>
      <c r="AX209" s="975">
        <f t="shared" si="42"/>
        <v>0</v>
      </c>
      <c r="AY209" s="976">
        <f>IFERROR(IF($AE$2=TRUE,IF(AR209+AS209=0,0,AR209+AS209),ROUND(IF(데이터입력!$AF$14=100%,ROUND(AR209*$AR$1,-3),ROUND(AR209*$AR$1,-3)-ROUND(((AR209*$AR$1)*$AT$4)*(데이터입력!$AF$14-100%)+((AR209*$AR$1)*$AU$4)*(데이터입력!$AF$14-100%)+((AR209*$AR$1)*$AU$4*$AV$4)*(데이터입력!$AF$14-100%)+((AR209*$AR$1)*$AW$4)*(데이터입력!$AF$14-100%),-1)),0)),0)</f>
        <v>0</v>
      </c>
      <c r="AZ209" s="977">
        <f>IFERROR(IF(AR209+AS209=0,0,IF(데이터입력!$AF$12=100%,(AT209),(AT209)+ROUND(AT209*(데이터입력!$AF$12-100%),-1))),0)</f>
        <v>0</v>
      </c>
      <c r="BA209" s="1097" t="str">
        <f>IFERROR(IF(AZ209=0,"",IF(AND(예산실적비교표!AP209&gt;0,예산실적비교표!AW209=0),"",ROUND(AZ209/12,0))),"")</f>
        <v/>
      </c>
      <c r="BB209" s="1096" t="str">
        <f>IF(BA209="","",IF(데이터입력!$O$70="",ROUND(AZ209/12,0),ROUND(데이터입력!$O$70/데이터입력!$Y$8/$BC$63,0)))</f>
        <v/>
      </c>
    </row>
    <row r="210" spans="42:54">
      <c r="AP210" s="1035" t="str">
        <f>IF(예산실적비교표!AL210&lt;&gt;"",예산실적비교표!AL210,"")</f>
        <v/>
      </c>
      <c r="AQ210" s="1036" t="str">
        <f>IF(예산실적비교표!AM210&lt;&gt;"",예산실적비교표!AM210,"")</f>
        <v/>
      </c>
      <c r="AR210" s="1037">
        <f>IF(AND(예산실적비교표!AN210&lt;&gt;"",예산실적비교표!AN210&gt;1),예산실적비교표!AN210,0)</f>
        <v>0</v>
      </c>
      <c r="AS210" s="1038">
        <f>IF(예산실적비교표!AO210&lt;&gt;"",예산실적비교표!AO210,0)</f>
        <v>0</v>
      </c>
      <c r="AT210" s="971">
        <f t="shared" si="40"/>
        <v>0</v>
      </c>
      <c r="AU210" s="1039">
        <f>IF(예산실적비교표!AQ210&lt;&gt;"",예산실적비교표!AQ210,0)</f>
        <v>0</v>
      </c>
      <c r="AV210" s="973">
        <f t="shared" si="41"/>
        <v>0</v>
      </c>
      <c r="AW210" s="974">
        <f>IF(AR210="",0,ROUND((AT210*$AT$7)*데이터입력!$AF$14+(AT210*$AU$7)*데이터입력!$AF$14+(AT210*$AU$7*$AV$7)*데이터입력!$AF$14+(AT210*$AW$7)*데이터입력!$AF$14+(AT210*$AX$7)*데이터입력!$AF$14,-1))</f>
        <v>0</v>
      </c>
      <c r="AX210" s="975">
        <f t="shared" si="42"/>
        <v>0</v>
      </c>
      <c r="AY210" s="976">
        <f>IFERROR(IF($AE$2=TRUE,IF(AR210+AS210=0,0,AR210+AS210),ROUND(IF(데이터입력!$AF$14=100%,ROUND(AR210*$AR$1,-3),ROUND(AR210*$AR$1,-3)-ROUND(((AR210*$AR$1)*$AT$4)*(데이터입력!$AF$14-100%)+((AR210*$AR$1)*$AU$4)*(데이터입력!$AF$14-100%)+((AR210*$AR$1)*$AU$4*$AV$4)*(데이터입력!$AF$14-100%)+((AR210*$AR$1)*$AW$4)*(데이터입력!$AF$14-100%),-1)),0)),0)</f>
        <v>0</v>
      </c>
      <c r="AZ210" s="977">
        <f>IFERROR(IF(AR210+AS210=0,0,IF(데이터입력!$AF$12=100%,(AT210),(AT210)+ROUND(AT210*(데이터입력!$AF$12-100%),-1))),0)</f>
        <v>0</v>
      </c>
      <c r="BA210" s="1097" t="str">
        <f>IFERROR(IF(AZ210=0,"",IF(AND(예산실적비교표!AP210&gt;0,예산실적비교표!AW210=0),"",ROUND(AZ210/12,0))),"")</f>
        <v/>
      </c>
      <c r="BB210" s="1096" t="str">
        <f>IF(BA210="","",IF(데이터입력!$O$70="",ROUND(AZ210/12,0),ROUND(데이터입력!$O$70/데이터입력!$Y$8/$BC$63,0)))</f>
        <v/>
      </c>
    </row>
    <row r="211" spans="42:54">
      <c r="AP211" s="1035" t="str">
        <f>IF(예산실적비교표!AL211&lt;&gt;"",예산실적비교표!AL211,"")</f>
        <v/>
      </c>
      <c r="AQ211" s="1036" t="str">
        <f>IF(예산실적비교표!AM211&lt;&gt;"",예산실적비교표!AM211,"")</f>
        <v/>
      </c>
      <c r="AR211" s="1037">
        <f>IF(AND(예산실적비교표!AN211&lt;&gt;"",예산실적비교표!AN211&gt;1),예산실적비교표!AN211,0)</f>
        <v>0</v>
      </c>
      <c r="AS211" s="1038">
        <f>IF(예산실적비교표!AO211&lt;&gt;"",예산실적비교표!AO211,0)</f>
        <v>0</v>
      </c>
      <c r="AT211" s="971">
        <f t="shared" si="40"/>
        <v>0</v>
      </c>
      <c r="AU211" s="1039">
        <f>IF(예산실적비교표!AQ211&lt;&gt;"",예산실적비교표!AQ211,0)</f>
        <v>0</v>
      </c>
      <c r="AV211" s="973">
        <f t="shared" si="41"/>
        <v>0</v>
      </c>
      <c r="AW211" s="974">
        <f>IF(AR211="",0,ROUND((AT211*$AT$7)*데이터입력!$AF$14+(AT211*$AU$7)*데이터입력!$AF$14+(AT211*$AU$7*$AV$7)*데이터입력!$AF$14+(AT211*$AW$7)*데이터입력!$AF$14+(AT211*$AX$7)*데이터입력!$AF$14,-1))</f>
        <v>0</v>
      </c>
      <c r="AX211" s="975">
        <f t="shared" si="42"/>
        <v>0</v>
      </c>
      <c r="AY211" s="976">
        <f>IFERROR(IF($AE$2=TRUE,IF(AR211+AS211=0,0,AR211+AS211),ROUND(IF(데이터입력!$AF$14=100%,ROUND(AR211*$AR$1,-3),ROUND(AR211*$AR$1,-3)-ROUND(((AR211*$AR$1)*$AT$4)*(데이터입력!$AF$14-100%)+((AR211*$AR$1)*$AU$4)*(데이터입력!$AF$14-100%)+((AR211*$AR$1)*$AU$4*$AV$4)*(데이터입력!$AF$14-100%)+((AR211*$AR$1)*$AW$4)*(데이터입력!$AF$14-100%),-1)),0)),0)</f>
        <v>0</v>
      </c>
      <c r="AZ211" s="977">
        <f>IFERROR(IF(AR211+AS211=0,0,IF(데이터입력!$AF$12=100%,(AT211),(AT211)+ROUND(AT211*(데이터입력!$AF$12-100%),-1))),0)</f>
        <v>0</v>
      </c>
      <c r="BA211" s="1097" t="str">
        <f>IFERROR(IF(AZ211=0,"",IF(AND(예산실적비교표!AP211&gt;0,예산실적비교표!AW211=0),"",ROUND(AZ211/12,0))),"")</f>
        <v/>
      </c>
      <c r="BB211" s="1096" t="str">
        <f>IF(BA211="","",IF(데이터입력!$O$70="",ROUND(AZ211/12,0),ROUND(데이터입력!$O$70/데이터입력!$Y$8/$BC$63,0)))</f>
        <v/>
      </c>
    </row>
    <row r="212" spans="42:54">
      <c r="AP212" s="1035" t="str">
        <f>IF(예산실적비교표!AL212&lt;&gt;"",예산실적비교표!AL212,"")</f>
        <v/>
      </c>
      <c r="AQ212" s="1036" t="str">
        <f>IF(예산실적비교표!AM212&lt;&gt;"",예산실적비교표!AM212,"")</f>
        <v/>
      </c>
      <c r="AR212" s="1037">
        <f>IF(AND(예산실적비교표!AN212&lt;&gt;"",예산실적비교표!AN212&gt;1),예산실적비교표!AN212,0)</f>
        <v>0</v>
      </c>
      <c r="AS212" s="1038">
        <f>IF(예산실적비교표!AO212&lt;&gt;"",예산실적비교표!AO212,0)</f>
        <v>0</v>
      </c>
      <c r="AT212" s="971">
        <f t="shared" si="40"/>
        <v>0</v>
      </c>
      <c r="AU212" s="1039">
        <f>IF(예산실적비교표!AQ212&lt;&gt;"",예산실적비교표!AQ212,0)</f>
        <v>0</v>
      </c>
      <c r="AV212" s="973">
        <f t="shared" si="41"/>
        <v>0</v>
      </c>
      <c r="AW212" s="974">
        <f>IF(AR212="",0,ROUND((AT212*$AT$7)*데이터입력!$AF$14+(AT212*$AU$7)*데이터입력!$AF$14+(AT212*$AU$7*$AV$7)*데이터입력!$AF$14+(AT212*$AW$7)*데이터입력!$AF$14+(AT212*$AX$7)*데이터입력!$AF$14,-1))</f>
        <v>0</v>
      </c>
      <c r="AX212" s="975">
        <f t="shared" si="42"/>
        <v>0</v>
      </c>
      <c r="AY212" s="976">
        <f>IFERROR(IF($AE$2=TRUE,IF(AR212+AS212=0,0,AR212+AS212),ROUND(IF(데이터입력!$AF$14=100%,ROUND(AR212*$AR$1,-3),ROUND(AR212*$AR$1,-3)-ROUND(((AR212*$AR$1)*$AT$4)*(데이터입력!$AF$14-100%)+((AR212*$AR$1)*$AU$4)*(데이터입력!$AF$14-100%)+((AR212*$AR$1)*$AU$4*$AV$4)*(데이터입력!$AF$14-100%)+((AR212*$AR$1)*$AW$4)*(데이터입력!$AF$14-100%),-1)),0)),0)</f>
        <v>0</v>
      </c>
      <c r="AZ212" s="977">
        <f>IFERROR(IF(AR212+AS212=0,0,IF(데이터입력!$AF$12=100%,(AT212),(AT212)+ROUND(AT212*(데이터입력!$AF$12-100%),-1))),0)</f>
        <v>0</v>
      </c>
      <c r="BA212" s="1097" t="str">
        <f>IFERROR(IF(AZ212=0,"",IF(AND(예산실적비교표!AP212&gt;0,예산실적비교표!AW212=0),"",ROUND(AZ212/12,0))),"")</f>
        <v/>
      </c>
      <c r="BB212" s="1096" t="str">
        <f>IF(BA212="","",IF(데이터입력!$O$70="",ROUND(AZ212/12,0),ROUND(데이터입력!$O$70/데이터입력!$Y$8/$BC$63,0)))</f>
        <v/>
      </c>
    </row>
    <row r="213" spans="42:54">
      <c r="AP213" s="1035" t="str">
        <f>IF(예산실적비교표!AL213&lt;&gt;"",예산실적비교표!AL213,"")</f>
        <v/>
      </c>
      <c r="AQ213" s="1036" t="str">
        <f>IF(예산실적비교표!AM213&lt;&gt;"",예산실적비교표!AM213,"")</f>
        <v/>
      </c>
      <c r="AR213" s="1037">
        <f>IF(AND(예산실적비교표!AN213&lt;&gt;"",예산실적비교표!AN213&gt;1),예산실적비교표!AN213,0)</f>
        <v>0</v>
      </c>
      <c r="AS213" s="1038">
        <f>IF(예산실적비교표!AO213&lt;&gt;"",예산실적비교표!AO213,0)</f>
        <v>0</v>
      </c>
      <c r="AT213" s="971">
        <f t="shared" si="40"/>
        <v>0</v>
      </c>
      <c r="AU213" s="1039">
        <f>IF(예산실적비교표!AQ213&lt;&gt;"",예산실적비교표!AQ213,0)</f>
        <v>0</v>
      </c>
      <c r="AV213" s="973">
        <f t="shared" si="41"/>
        <v>0</v>
      </c>
      <c r="AW213" s="974">
        <f>IF(AR213="",0,ROUND((AT213*$AT$7)*데이터입력!$AF$14+(AT213*$AU$7)*데이터입력!$AF$14+(AT213*$AU$7*$AV$7)*데이터입력!$AF$14+(AT213*$AW$7)*데이터입력!$AF$14+(AT213*$AX$7)*데이터입력!$AF$14,-1))</f>
        <v>0</v>
      </c>
      <c r="AX213" s="975">
        <f t="shared" si="42"/>
        <v>0</v>
      </c>
      <c r="AY213" s="976">
        <f>IFERROR(IF($AE$2=TRUE,IF(AR213+AS213=0,0,AR213+AS213),ROUND(IF(데이터입력!$AF$14=100%,ROUND(AR213*$AR$1,-3),ROUND(AR213*$AR$1,-3)-ROUND(((AR213*$AR$1)*$AT$4)*(데이터입력!$AF$14-100%)+((AR213*$AR$1)*$AU$4)*(데이터입력!$AF$14-100%)+((AR213*$AR$1)*$AU$4*$AV$4)*(데이터입력!$AF$14-100%)+((AR213*$AR$1)*$AW$4)*(데이터입력!$AF$14-100%),-1)),0)),0)</f>
        <v>0</v>
      </c>
      <c r="AZ213" s="977">
        <f>IFERROR(IF(AR213+AS213=0,0,IF(데이터입력!$AF$12=100%,(AT213),(AT213)+ROUND(AT213*(데이터입력!$AF$12-100%),-1))),0)</f>
        <v>0</v>
      </c>
      <c r="BA213" s="1097" t="str">
        <f>IFERROR(IF(AZ213=0,"",IF(AND(예산실적비교표!AP213&gt;0,예산실적비교표!AW213=0),"",ROUND(AZ213/12,0))),"")</f>
        <v/>
      </c>
      <c r="BB213" s="1096" t="str">
        <f>IF(BA213="","",IF(데이터입력!$O$70="",ROUND(AZ213/12,0),ROUND(데이터입력!$O$70/데이터입력!$Y$8/$BC$63,0)))</f>
        <v/>
      </c>
    </row>
    <row r="214" spans="42:54">
      <c r="AP214" s="1035" t="str">
        <f>IF(예산실적비교표!AL214&lt;&gt;"",예산실적비교표!AL214,"")</f>
        <v/>
      </c>
      <c r="AQ214" s="1036" t="str">
        <f>IF(예산실적비교표!AM214&lt;&gt;"",예산실적비교표!AM214,"")</f>
        <v/>
      </c>
      <c r="AR214" s="1037">
        <f>IF(AND(예산실적비교표!AN214&lt;&gt;"",예산실적비교표!AN214&gt;1),예산실적비교표!AN214,0)</f>
        <v>0</v>
      </c>
      <c r="AS214" s="1038">
        <f>IF(예산실적비교표!AO214&lt;&gt;"",예산실적비교표!AO214,0)</f>
        <v>0</v>
      </c>
      <c r="AT214" s="971">
        <f t="shared" si="40"/>
        <v>0</v>
      </c>
      <c r="AU214" s="1039">
        <f>IF(예산실적비교표!AQ214&lt;&gt;"",예산실적비교표!AQ214,0)</f>
        <v>0</v>
      </c>
      <c r="AV214" s="973">
        <f t="shared" si="41"/>
        <v>0</v>
      </c>
      <c r="AW214" s="974">
        <f>IF(AR214="",0,ROUND((AT214*$AT$7)*데이터입력!$AF$14+(AT214*$AU$7)*데이터입력!$AF$14+(AT214*$AU$7*$AV$7)*데이터입력!$AF$14+(AT214*$AW$7)*데이터입력!$AF$14+(AT214*$AX$7)*데이터입력!$AF$14,-1))</f>
        <v>0</v>
      </c>
      <c r="AX214" s="975">
        <f t="shared" si="42"/>
        <v>0</v>
      </c>
      <c r="AY214" s="976">
        <f>IFERROR(IF($AE$2=TRUE,IF(AR214+AS214=0,0,AR214+AS214),ROUND(IF(데이터입력!$AF$14=100%,ROUND(AR214*$AR$1,-3),ROUND(AR214*$AR$1,-3)-ROUND(((AR214*$AR$1)*$AT$4)*(데이터입력!$AF$14-100%)+((AR214*$AR$1)*$AU$4)*(데이터입력!$AF$14-100%)+((AR214*$AR$1)*$AU$4*$AV$4)*(데이터입력!$AF$14-100%)+((AR214*$AR$1)*$AW$4)*(데이터입력!$AF$14-100%),-1)),0)),0)</f>
        <v>0</v>
      </c>
      <c r="AZ214" s="977">
        <f>IFERROR(IF(AR214+AS214=0,0,IF(데이터입력!$AF$12=100%,(AT214),(AT214)+ROUND(AT214*(데이터입력!$AF$12-100%),-1))),0)</f>
        <v>0</v>
      </c>
      <c r="BA214" s="1097" t="str">
        <f>IFERROR(IF(AZ214=0,"",IF(AND(예산실적비교표!AP214&gt;0,예산실적비교표!AW214=0),"",ROUND(AZ214/12,0))),"")</f>
        <v/>
      </c>
      <c r="BB214" s="1096" t="str">
        <f>IF(BA214="","",IF(데이터입력!$O$70="",ROUND(AZ214/12,0),ROUND(데이터입력!$O$70/데이터입력!$Y$8/$BC$63,0)))</f>
        <v/>
      </c>
    </row>
    <row r="215" spans="42:54">
      <c r="AP215" s="1035" t="str">
        <f>IF(예산실적비교표!AL215&lt;&gt;"",예산실적비교표!AL215,"")</f>
        <v/>
      </c>
      <c r="AQ215" s="1036" t="str">
        <f>IF(예산실적비교표!AM215&lt;&gt;"",예산실적비교표!AM215,"")</f>
        <v/>
      </c>
      <c r="AR215" s="1037">
        <f>IF(AND(예산실적비교표!AN215&lt;&gt;"",예산실적비교표!AN215&gt;1),예산실적비교표!AN215,0)</f>
        <v>0</v>
      </c>
      <c r="AS215" s="1038">
        <f>IF(예산실적비교표!AO215&lt;&gt;"",예산실적비교표!AO215,0)</f>
        <v>0</v>
      </c>
      <c r="AT215" s="971">
        <f t="shared" si="40"/>
        <v>0</v>
      </c>
      <c r="AU215" s="1039">
        <f>IF(예산실적비교표!AQ215&lt;&gt;"",예산실적비교표!AQ215,0)</f>
        <v>0</v>
      </c>
      <c r="AV215" s="973">
        <f t="shared" si="41"/>
        <v>0</v>
      </c>
      <c r="AW215" s="974">
        <f>IF(AR215="",0,ROUND((AT215*$AT$7)*데이터입력!$AF$14+(AT215*$AU$7)*데이터입력!$AF$14+(AT215*$AU$7*$AV$7)*데이터입력!$AF$14+(AT215*$AW$7)*데이터입력!$AF$14+(AT215*$AX$7)*데이터입력!$AF$14,-1))</f>
        <v>0</v>
      </c>
      <c r="AX215" s="975">
        <f t="shared" si="42"/>
        <v>0</v>
      </c>
      <c r="AY215" s="976">
        <f>IFERROR(IF($AE$2=TRUE,IF(AR215+AS215=0,0,AR215+AS215),ROUND(IF(데이터입력!$AF$14=100%,ROUND(AR215*$AR$1,-3),ROUND(AR215*$AR$1,-3)-ROUND(((AR215*$AR$1)*$AT$4)*(데이터입력!$AF$14-100%)+((AR215*$AR$1)*$AU$4)*(데이터입력!$AF$14-100%)+((AR215*$AR$1)*$AU$4*$AV$4)*(데이터입력!$AF$14-100%)+((AR215*$AR$1)*$AW$4)*(데이터입력!$AF$14-100%),-1)),0)),0)</f>
        <v>0</v>
      </c>
      <c r="AZ215" s="977">
        <f>IFERROR(IF(AR215+AS215=0,0,IF(데이터입력!$AF$12=100%,(AT215),(AT215)+ROUND(AT215*(데이터입력!$AF$12-100%),-1))),0)</f>
        <v>0</v>
      </c>
      <c r="BA215" s="1097" t="str">
        <f>IFERROR(IF(AZ215=0,"",IF(AND(예산실적비교표!AP215&gt;0,예산실적비교표!AW215=0),"",ROUND(AZ215/12,0))),"")</f>
        <v/>
      </c>
      <c r="BB215" s="1096" t="str">
        <f>IF(BA215="","",IF(데이터입력!$O$70="",ROUND(AZ215/12,0),ROUND(데이터입력!$O$70/데이터입력!$Y$8/$BC$63,0)))</f>
        <v/>
      </c>
    </row>
    <row r="216" spans="42:54">
      <c r="AP216" s="1035" t="str">
        <f>IF(예산실적비교표!AL216&lt;&gt;"",예산실적비교표!AL216,"")</f>
        <v/>
      </c>
      <c r="AQ216" s="1036" t="str">
        <f>IF(예산실적비교표!AM216&lt;&gt;"",예산실적비교표!AM216,"")</f>
        <v/>
      </c>
      <c r="AR216" s="1037">
        <f>IF(AND(예산실적비교표!AN216&lt;&gt;"",예산실적비교표!AN216&gt;1),예산실적비교표!AN216,0)</f>
        <v>0</v>
      </c>
      <c r="AS216" s="1038">
        <f>IF(예산실적비교표!AO216&lt;&gt;"",예산실적비교표!AO216,0)</f>
        <v>0</v>
      </c>
      <c r="AT216" s="971">
        <f t="shared" si="40"/>
        <v>0</v>
      </c>
      <c r="AU216" s="1039">
        <f>IF(예산실적비교표!AQ216&lt;&gt;"",예산실적비교표!AQ216,0)</f>
        <v>0</v>
      </c>
      <c r="AV216" s="973">
        <f t="shared" si="41"/>
        <v>0</v>
      </c>
      <c r="AW216" s="974">
        <f>IF(AR216="",0,ROUND((AT216*$AT$7)*데이터입력!$AF$14+(AT216*$AU$7)*데이터입력!$AF$14+(AT216*$AU$7*$AV$7)*데이터입력!$AF$14+(AT216*$AW$7)*데이터입력!$AF$14+(AT216*$AX$7)*데이터입력!$AF$14,-1))</f>
        <v>0</v>
      </c>
      <c r="AX216" s="975">
        <f t="shared" si="42"/>
        <v>0</v>
      </c>
      <c r="AY216" s="976">
        <f>IFERROR(IF($AE$2=TRUE,IF(AR216+AS216=0,0,AR216+AS216),ROUND(IF(데이터입력!$AF$14=100%,ROUND(AR216*$AR$1,-3),ROUND(AR216*$AR$1,-3)-ROUND(((AR216*$AR$1)*$AT$4)*(데이터입력!$AF$14-100%)+((AR216*$AR$1)*$AU$4)*(데이터입력!$AF$14-100%)+((AR216*$AR$1)*$AU$4*$AV$4)*(데이터입력!$AF$14-100%)+((AR216*$AR$1)*$AW$4)*(데이터입력!$AF$14-100%),-1)),0)),0)</f>
        <v>0</v>
      </c>
      <c r="AZ216" s="977">
        <f>IFERROR(IF(AR216+AS216=0,0,IF(데이터입력!$AF$12=100%,(AT216),(AT216)+ROUND(AT216*(데이터입력!$AF$12-100%),-1))),0)</f>
        <v>0</v>
      </c>
      <c r="BA216" s="1097" t="str">
        <f>IFERROR(IF(AZ216=0,"",IF(AND(예산실적비교표!AP216&gt;0,예산실적비교표!AW216=0),"",ROUND(AZ216/12,0))),"")</f>
        <v/>
      </c>
      <c r="BB216" s="1096" t="str">
        <f>IF(BA216="","",IF(데이터입력!$O$70="",ROUND(AZ216/12,0),ROUND(데이터입력!$O$70/데이터입력!$Y$8/$BC$63,0)))</f>
        <v/>
      </c>
    </row>
    <row r="217" spans="42:54">
      <c r="AP217" s="1035" t="str">
        <f>IF(예산실적비교표!AL217&lt;&gt;"",예산실적비교표!AL217,"")</f>
        <v/>
      </c>
      <c r="AQ217" s="1036" t="str">
        <f>IF(예산실적비교표!AM217&lt;&gt;"",예산실적비교표!AM217,"")</f>
        <v/>
      </c>
      <c r="AR217" s="1037">
        <f>IF(AND(예산실적비교표!AN217&lt;&gt;"",예산실적비교표!AN217&gt;1),예산실적비교표!AN217,0)</f>
        <v>0</v>
      </c>
      <c r="AS217" s="1038">
        <f>IF(예산실적비교표!AO217&lt;&gt;"",예산실적비교표!AO217,0)</f>
        <v>0</v>
      </c>
      <c r="AT217" s="971">
        <f t="shared" si="40"/>
        <v>0</v>
      </c>
      <c r="AU217" s="1039">
        <f>IF(예산실적비교표!AQ217&lt;&gt;"",예산실적비교표!AQ217,0)</f>
        <v>0</v>
      </c>
      <c r="AV217" s="973">
        <f t="shared" si="41"/>
        <v>0</v>
      </c>
      <c r="AW217" s="974">
        <f>IF(AR217="",0,ROUND((AT217*$AT$7)*데이터입력!$AF$14+(AT217*$AU$7)*데이터입력!$AF$14+(AT217*$AU$7*$AV$7)*데이터입력!$AF$14+(AT217*$AW$7)*데이터입력!$AF$14+(AT217*$AX$7)*데이터입력!$AF$14,-1))</f>
        <v>0</v>
      </c>
      <c r="AX217" s="975">
        <f t="shared" si="42"/>
        <v>0</v>
      </c>
      <c r="AY217" s="976">
        <f>IFERROR(IF($AE$2=TRUE,IF(AR217+AS217=0,0,AR217+AS217),ROUND(IF(데이터입력!$AF$14=100%,ROUND(AR217*$AR$1,-3),ROUND(AR217*$AR$1,-3)-ROUND(((AR217*$AR$1)*$AT$4)*(데이터입력!$AF$14-100%)+((AR217*$AR$1)*$AU$4)*(데이터입력!$AF$14-100%)+((AR217*$AR$1)*$AU$4*$AV$4)*(데이터입력!$AF$14-100%)+((AR217*$AR$1)*$AW$4)*(데이터입력!$AF$14-100%),-1)),0)),0)</f>
        <v>0</v>
      </c>
      <c r="AZ217" s="977">
        <f>IFERROR(IF(AR217+AS217=0,0,IF(데이터입력!$AF$12=100%,(AT217),(AT217)+ROUND(AT217*(데이터입력!$AF$12-100%),-1))),0)</f>
        <v>0</v>
      </c>
      <c r="BA217" s="1097" t="str">
        <f>IFERROR(IF(AZ217=0,"",IF(AND(예산실적비교표!AP217&gt;0,예산실적비교표!AW217=0),"",ROUND(AZ217/12,0))),"")</f>
        <v/>
      </c>
      <c r="BB217" s="1096" t="str">
        <f>IF(BA217="","",IF(데이터입력!$O$70="",ROUND(AZ217/12,0),ROUND(데이터입력!$O$70/데이터입력!$Y$8/$BC$63,0)))</f>
        <v/>
      </c>
    </row>
    <row r="218" spans="42:54">
      <c r="AP218" s="1035" t="str">
        <f>IF(예산실적비교표!AL218&lt;&gt;"",예산실적비교표!AL218,"")</f>
        <v/>
      </c>
      <c r="AQ218" s="1036" t="str">
        <f>IF(예산실적비교표!AM218&lt;&gt;"",예산실적비교표!AM218,"")</f>
        <v/>
      </c>
      <c r="AR218" s="1037">
        <f>IF(AND(예산실적비교표!AN218&lt;&gt;"",예산실적비교표!AN218&gt;1),예산실적비교표!AN218,0)</f>
        <v>0</v>
      </c>
      <c r="AS218" s="1038">
        <f>IF(예산실적비교표!AO218&lt;&gt;"",예산실적비교표!AO218,0)</f>
        <v>0</v>
      </c>
      <c r="AT218" s="971">
        <f t="shared" si="40"/>
        <v>0</v>
      </c>
      <c r="AU218" s="1039">
        <f>IF(예산실적비교표!AQ218&lt;&gt;"",예산실적비교표!AQ218,0)</f>
        <v>0</v>
      </c>
      <c r="AV218" s="973">
        <f t="shared" si="41"/>
        <v>0</v>
      </c>
      <c r="AW218" s="974">
        <f>IF(AR218="",0,ROUND((AT218*$AT$7)*데이터입력!$AF$14+(AT218*$AU$7)*데이터입력!$AF$14+(AT218*$AU$7*$AV$7)*데이터입력!$AF$14+(AT218*$AW$7)*데이터입력!$AF$14+(AT218*$AX$7)*데이터입력!$AF$14,-1))</f>
        <v>0</v>
      </c>
      <c r="AX218" s="975">
        <f t="shared" si="42"/>
        <v>0</v>
      </c>
      <c r="AY218" s="976">
        <f>IFERROR(IF($AE$2=TRUE,IF(AR218+AS218=0,0,AR218+AS218),ROUND(IF(데이터입력!$AF$14=100%,ROUND(AR218*$AR$1,-3),ROUND(AR218*$AR$1,-3)-ROUND(((AR218*$AR$1)*$AT$4)*(데이터입력!$AF$14-100%)+((AR218*$AR$1)*$AU$4)*(데이터입력!$AF$14-100%)+((AR218*$AR$1)*$AU$4*$AV$4)*(데이터입력!$AF$14-100%)+((AR218*$AR$1)*$AW$4)*(데이터입력!$AF$14-100%),-1)),0)),0)</f>
        <v>0</v>
      </c>
      <c r="AZ218" s="977">
        <f>IFERROR(IF(AR218+AS218=0,0,IF(데이터입력!$AF$12=100%,(AT218),(AT218)+ROUND(AT218*(데이터입력!$AF$12-100%),-1))),0)</f>
        <v>0</v>
      </c>
      <c r="BA218" s="1097" t="str">
        <f>IFERROR(IF(AZ218=0,"",IF(AND(예산실적비교표!AP218&gt;0,예산실적비교표!AW218=0),"",ROUND(AZ218/12,0))),"")</f>
        <v/>
      </c>
      <c r="BB218" s="1096" t="str">
        <f>IF(BA218="","",IF(데이터입력!$O$70="",ROUND(AZ218/12,0),ROUND(데이터입력!$O$70/데이터입력!$Y$8/$BC$63,0)))</f>
        <v/>
      </c>
    </row>
    <row r="219" spans="42:54">
      <c r="AP219" s="1035" t="str">
        <f>IF(예산실적비교표!AL219&lt;&gt;"",예산실적비교표!AL219,"")</f>
        <v/>
      </c>
      <c r="AQ219" s="1036" t="str">
        <f>IF(예산실적비교표!AM219&lt;&gt;"",예산실적비교표!AM219,"")</f>
        <v/>
      </c>
      <c r="AR219" s="1037">
        <f>IF(AND(예산실적비교표!AN219&lt;&gt;"",예산실적비교표!AN219&gt;1),예산실적비교표!AN219,0)</f>
        <v>0</v>
      </c>
      <c r="AS219" s="1038">
        <f>IF(예산실적비교표!AO219&lt;&gt;"",예산실적비교표!AO219,0)</f>
        <v>0</v>
      </c>
      <c r="AT219" s="971">
        <f t="shared" si="40"/>
        <v>0</v>
      </c>
      <c r="AU219" s="1039">
        <f>IF(예산실적비교표!AQ219&lt;&gt;"",예산실적비교표!AQ219,0)</f>
        <v>0</v>
      </c>
      <c r="AV219" s="973">
        <f t="shared" si="41"/>
        <v>0</v>
      </c>
      <c r="AW219" s="974">
        <f>IF(AR219="",0,ROUND((AT219*$AT$7)*데이터입력!$AF$14+(AT219*$AU$7)*데이터입력!$AF$14+(AT219*$AU$7*$AV$7)*데이터입력!$AF$14+(AT219*$AW$7)*데이터입력!$AF$14+(AT219*$AX$7)*데이터입력!$AF$14,-1))</f>
        <v>0</v>
      </c>
      <c r="AX219" s="975">
        <f t="shared" si="42"/>
        <v>0</v>
      </c>
      <c r="AY219" s="976">
        <f>IFERROR(IF($AE$2=TRUE,IF(AR219+AS219=0,0,AR219+AS219),ROUND(IF(데이터입력!$AF$14=100%,ROUND(AR219*$AR$1,-3),ROUND(AR219*$AR$1,-3)-ROUND(((AR219*$AR$1)*$AT$4)*(데이터입력!$AF$14-100%)+((AR219*$AR$1)*$AU$4)*(데이터입력!$AF$14-100%)+((AR219*$AR$1)*$AU$4*$AV$4)*(데이터입력!$AF$14-100%)+((AR219*$AR$1)*$AW$4)*(데이터입력!$AF$14-100%),-1)),0)),0)</f>
        <v>0</v>
      </c>
      <c r="AZ219" s="977">
        <f>IFERROR(IF(AR219+AS219=0,0,IF(데이터입력!$AF$12=100%,(AT219),(AT219)+ROUND(AT219*(데이터입력!$AF$12-100%),-1))),0)</f>
        <v>0</v>
      </c>
      <c r="BA219" s="1097" t="str">
        <f>IFERROR(IF(AZ219=0,"",IF(AND(예산실적비교표!AP219&gt;0,예산실적비교표!AW219=0),"",ROUND(AZ219/12,0))),"")</f>
        <v/>
      </c>
      <c r="BB219" s="1096" t="str">
        <f>IF(BA219="","",IF(데이터입력!$O$70="",ROUND(AZ219/12,0),ROUND(데이터입력!$O$70/데이터입력!$Y$8/$BC$63,0)))</f>
        <v/>
      </c>
    </row>
    <row r="220" spans="42:54">
      <c r="AP220" s="1035" t="str">
        <f>IF(예산실적비교표!AL220&lt;&gt;"",예산실적비교표!AL220,"")</f>
        <v/>
      </c>
      <c r="AQ220" s="1036" t="str">
        <f>IF(예산실적비교표!AM220&lt;&gt;"",예산실적비교표!AM220,"")</f>
        <v/>
      </c>
      <c r="AR220" s="1037">
        <f>IF(AND(예산실적비교표!AN220&lt;&gt;"",예산실적비교표!AN220&gt;1),예산실적비교표!AN220,0)</f>
        <v>0</v>
      </c>
      <c r="AS220" s="1038">
        <f>IF(예산실적비교표!AO220&lt;&gt;"",예산실적비교표!AO220,0)</f>
        <v>0</v>
      </c>
      <c r="AT220" s="971">
        <f t="shared" si="40"/>
        <v>0</v>
      </c>
      <c r="AU220" s="1039">
        <f>IF(예산실적비교표!AQ220&lt;&gt;"",예산실적비교표!AQ220,0)</f>
        <v>0</v>
      </c>
      <c r="AV220" s="973">
        <f t="shared" si="41"/>
        <v>0</v>
      </c>
      <c r="AW220" s="974">
        <f>IF(AR220="",0,ROUND((AT220*$AT$7)*데이터입력!$AF$14+(AT220*$AU$7)*데이터입력!$AF$14+(AT220*$AU$7*$AV$7)*데이터입력!$AF$14+(AT220*$AW$7)*데이터입력!$AF$14+(AT220*$AX$7)*데이터입력!$AF$14,-1))</f>
        <v>0</v>
      </c>
      <c r="AX220" s="975">
        <f t="shared" si="42"/>
        <v>0</v>
      </c>
      <c r="AY220" s="976">
        <f>IFERROR(IF($AE$2=TRUE,IF(AR220+AS220=0,0,AR220+AS220),ROUND(IF(데이터입력!$AF$14=100%,ROUND(AR220*$AR$1,-3),ROUND(AR220*$AR$1,-3)-ROUND(((AR220*$AR$1)*$AT$4)*(데이터입력!$AF$14-100%)+((AR220*$AR$1)*$AU$4)*(데이터입력!$AF$14-100%)+((AR220*$AR$1)*$AU$4*$AV$4)*(데이터입력!$AF$14-100%)+((AR220*$AR$1)*$AW$4)*(데이터입력!$AF$14-100%),-1)),0)),0)</f>
        <v>0</v>
      </c>
      <c r="AZ220" s="977">
        <f>IFERROR(IF(AR220+AS220=0,0,IF(데이터입력!$AF$12=100%,(AT220),(AT220)+ROUND(AT220*(데이터입력!$AF$12-100%),-1))),0)</f>
        <v>0</v>
      </c>
      <c r="BA220" s="1097" t="str">
        <f>IFERROR(IF(AZ220=0,"",IF(AND(예산실적비교표!AP220&gt;0,예산실적비교표!AW220=0),"",ROUND(AZ220/12,0))),"")</f>
        <v/>
      </c>
      <c r="BB220" s="1096" t="str">
        <f>IF(BA220="","",IF(데이터입력!$O$70="",ROUND(AZ220/12,0),ROUND(데이터입력!$O$70/데이터입력!$Y$8/$BC$63,0)))</f>
        <v/>
      </c>
    </row>
    <row r="221" spans="42:54">
      <c r="AP221" s="1035" t="str">
        <f>IF(예산실적비교표!AL221&lt;&gt;"",예산실적비교표!AL221,"")</f>
        <v/>
      </c>
      <c r="AQ221" s="1036" t="str">
        <f>IF(예산실적비교표!AM221&lt;&gt;"",예산실적비교표!AM221,"")</f>
        <v/>
      </c>
      <c r="AR221" s="1037">
        <f>IF(AND(예산실적비교표!AN221&lt;&gt;"",예산실적비교표!AN221&gt;1),예산실적비교표!AN221,0)</f>
        <v>0</v>
      </c>
      <c r="AS221" s="1038">
        <f>IF(예산실적비교표!AO221&lt;&gt;"",예산실적비교표!AO221,0)</f>
        <v>0</v>
      </c>
      <c r="AT221" s="971">
        <f t="shared" si="40"/>
        <v>0</v>
      </c>
      <c r="AU221" s="1039">
        <f>IF(예산실적비교표!AQ221&lt;&gt;"",예산실적비교표!AQ221,0)</f>
        <v>0</v>
      </c>
      <c r="AV221" s="973">
        <f t="shared" si="41"/>
        <v>0</v>
      </c>
      <c r="AW221" s="974">
        <f>IF(AR221="",0,ROUND((AT221*$AT$7)*데이터입력!$AF$14+(AT221*$AU$7)*데이터입력!$AF$14+(AT221*$AU$7*$AV$7)*데이터입력!$AF$14+(AT221*$AW$7)*데이터입력!$AF$14+(AT221*$AX$7)*데이터입력!$AF$14,-1))</f>
        <v>0</v>
      </c>
      <c r="AX221" s="975">
        <f t="shared" si="42"/>
        <v>0</v>
      </c>
      <c r="AY221" s="976">
        <f>IFERROR(IF($AE$2=TRUE,IF(AR221+AS221=0,0,AR221+AS221),ROUND(IF(데이터입력!$AF$14=100%,ROUND(AR221*$AR$1,-3),ROUND(AR221*$AR$1,-3)-ROUND(((AR221*$AR$1)*$AT$4)*(데이터입력!$AF$14-100%)+((AR221*$AR$1)*$AU$4)*(데이터입력!$AF$14-100%)+((AR221*$AR$1)*$AU$4*$AV$4)*(데이터입력!$AF$14-100%)+((AR221*$AR$1)*$AW$4)*(데이터입력!$AF$14-100%),-1)),0)),0)</f>
        <v>0</v>
      </c>
      <c r="AZ221" s="977">
        <f>IFERROR(IF(AR221+AS221=0,0,IF(데이터입력!$AF$12=100%,(AT221),(AT221)+ROUND(AT221*(데이터입력!$AF$12-100%),-1))),0)</f>
        <v>0</v>
      </c>
      <c r="BA221" s="1097" t="str">
        <f>IFERROR(IF(AZ221=0,"",IF(AND(예산실적비교표!AP221&gt;0,예산실적비교표!AW221=0),"",ROUND(AZ221/12,0))),"")</f>
        <v/>
      </c>
      <c r="BB221" s="1096" t="str">
        <f>IF(BA221="","",IF(데이터입력!$O$70="",ROUND(AZ221/12,0),ROUND(데이터입력!$O$70/데이터입력!$Y$8/$BC$63,0)))</f>
        <v/>
      </c>
    </row>
    <row r="222" spans="42:54">
      <c r="AP222" s="1035" t="str">
        <f>IF(예산실적비교표!AL222&lt;&gt;"",예산실적비교표!AL222,"")</f>
        <v/>
      </c>
      <c r="AQ222" s="1036" t="str">
        <f>IF(예산실적비교표!AM222&lt;&gt;"",예산실적비교표!AM222,"")</f>
        <v/>
      </c>
      <c r="AR222" s="1037">
        <f>IF(AND(예산실적비교표!AN222&lt;&gt;"",예산실적비교표!AN222&gt;1),예산실적비교표!AN222,0)</f>
        <v>0</v>
      </c>
      <c r="AS222" s="1038">
        <f>IF(예산실적비교표!AO222&lt;&gt;"",예산실적비교표!AO222,0)</f>
        <v>0</v>
      </c>
      <c r="AT222" s="971">
        <f t="shared" si="40"/>
        <v>0</v>
      </c>
      <c r="AU222" s="1039">
        <f>IF(예산실적비교표!AQ222&lt;&gt;"",예산실적비교표!AQ222,0)</f>
        <v>0</v>
      </c>
      <c r="AV222" s="973">
        <f t="shared" si="41"/>
        <v>0</v>
      </c>
      <c r="AW222" s="974">
        <f>IF(AR222="",0,ROUND((AT222*$AT$7)*데이터입력!$AF$14+(AT222*$AU$7)*데이터입력!$AF$14+(AT222*$AU$7*$AV$7)*데이터입력!$AF$14+(AT222*$AW$7)*데이터입력!$AF$14+(AT222*$AX$7)*데이터입력!$AF$14,-1))</f>
        <v>0</v>
      </c>
      <c r="AX222" s="975">
        <f t="shared" si="42"/>
        <v>0</v>
      </c>
      <c r="AY222" s="976">
        <f>IFERROR(IF($AE$2=TRUE,IF(AR222+AS222=0,0,AR222+AS222),ROUND(IF(데이터입력!$AF$14=100%,ROUND(AR222*$AR$1,-3),ROUND(AR222*$AR$1,-3)-ROUND(((AR222*$AR$1)*$AT$4)*(데이터입력!$AF$14-100%)+((AR222*$AR$1)*$AU$4)*(데이터입력!$AF$14-100%)+((AR222*$AR$1)*$AU$4*$AV$4)*(데이터입력!$AF$14-100%)+((AR222*$AR$1)*$AW$4)*(데이터입력!$AF$14-100%),-1)),0)),0)</f>
        <v>0</v>
      </c>
      <c r="AZ222" s="977">
        <f>IFERROR(IF(AR222+AS222=0,0,IF(데이터입력!$AF$12=100%,(AT222),(AT222)+ROUND(AT222*(데이터입력!$AF$12-100%),-1))),0)</f>
        <v>0</v>
      </c>
      <c r="BA222" s="1097" t="str">
        <f>IFERROR(IF(AZ222=0,"",IF(AND(예산실적비교표!AP222&gt;0,예산실적비교표!AW222=0),"",ROUND(AZ222/12,0))),"")</f>
        <v/>
      </c>
      <c r="BB222" s="1096" t="str">
        <f>IF(BA222="","",IF(데이터입력!$O$70="",ROUND(AZ222/12,0),ROUND(데이터입력!$O$70/데이터입력!$Y$8/$BC$63,0)))</f>
        <v/>
      </c>
    </row>
    <row r="223" spans="42:54">
      <c r="AP223" s="1035" t="str">
        <f>IF(예산실적비교표!AL223&lt;&gt;"",예산실적비교표!AL223,"")</f>
        <v/>
      </c>
      <c r="AQ223" s="1036" t="str">
        <f>IF(예산실적비교표!AM223&lt;&gt;"",예산실적비교표!AM223,"")</f>
        <v/>
      </c>
      <c r="AR223" s="1037">
        <f>IF(AND(예산실적비교표!AN223&lt;&gt;"",예산실적비교표!AN223&gt;1),예산실적비교표!AN223,0)</f>
        <v>0</v>
      </c>
      <c r="AS223" s="1038">
        <f>IF(예산실적비교표!AO223&lt;&gt;"",예산실적비교표!AO223,0)</f>
        <v>0</v>
      </c>
      <c r="AT223" s="971">
        <f t="shared" si="40"/>
        <v>0</v>
      </c>
      <c r="AU223" s="1039">
        <f>IF(예산실적비교표!AQ223&lt;&gt;"",예산실적비교표!AQ223,0)</f>
        <v>0</v>
      </c>
      <c r="AV223" s="973">
        <f t="shared" si="41"/>
        <v>0</v>
      </c>
      <c r="AW223" s="974">
        <f>IF(AR223="",0,ROUND((AT223*$AT$7)*데이터입력!$AF$14+(AT223*$AU$7)*데이터입력!$AF$14+(AT223*$AU$7*$AV$7)*데이터입력!$AF$14+(AT223*$AW$7)*데이터입력!$AF$14+(AT223*$AX$7)*데이터입력!$AF$14,-1))</f>
        <v>0</v>
      </c>
      <c r="AX223" s="975">
        <f t="shared" si="42"/>
        <v>0</v>
      </c>
      <c r="AY223" s="976">
        <f>IFERROR(IF($AE$2=TRUE,IF(AR223+AS223=0,0,AR223+AS223),ROUND(IF(데이터입력!$AF$14=100%,ROUND(AR223*$AR$1,-3),ROUND(AR223*$AR$1,-3)-ROUND(((AR223*$AR$1)*$AT$4)*(데이터입력!$AF$14-100%)+((AR223*$AR$1)*$AU$4)*(데이터입력!$AF$14-100%)+((AR223*$AR$1)*$AU$4*$AV$4)*(데이터입력!$AF$14-100%)+((AR223*$AR$1)*$AW$4)*(데이터입력!$AF$14-100%),-1)),0)),0)</f>
        <v>0</v>
      </c>
      <c r="AZ223" s="977">
        <f>IFERROR(IF(AR223+AS223=0,0,IF(데이터입력!$AF$12=100%,(AT223),(AT223)+ROUND(AT223*(데이터입력!$AF$12-100%),-1))),0)</f>
        <v>0</v>
      </c>
      <c r="BA223" s="1097" t="str">
        <f>IFERROR(IF(AZ223=0,"",IF(AND(예산실적비교표!AP223&gt;0,예산실적비교표!AW223=0),"",ROUND(AZ223/12,0))),"")</f>
        <v/>
      </c>
      <c r="BB223" s="1096" t="str">
        <f>IF(BA223="","",IF(데이터입력!$O$70="",ROUND(AZ223/12,0),ROUND(데이터입력!$O$70/데이터입력!$Y$8/$BC$63,0)))</f>
        <v/>
      </c>
    </row>
    <row r="224" spans="42:54">
      <c r="AP224" s="1035" t="str">
        <f>IF(예산실적비교표!AL224&lt;&gt;"",예산실적비교표!AL224,"")</f>
        <v/>
      </c>
      <c r="AQ224" s="1036" t="str">
        <f>IF(예산실적비교표!AM224&lt;&gt;"",예산실적비교표!AM224,"")</f>
        <v/>
      </c>
      <c r="AR224" s="1037">
        <f>IF(AND(예산실적비교표!AN224&lt;&gt;"",예산실적비교표!AN224&gt;1),예산실적비교표!AN224,0)</f>
        <v>0</v>
      </c>
      <c r="AS224" s="1038">
        <f>IF(예산실적비교표!AO224&lt;&gt;"",예산실적비교표!AO224,0)</f>
        <v>0</v>
      </c>
      <c r="AT224" s="971">
        <f t="shared" si="40"/>
        <v>0</v>
      </c>
      <c r="AU224" s="1039">
        <f>IF(예산실적비교표!AQ224&lt;&gt;"",예산실적비교표!AQ224,0)</f>
        <v>0</v>
      </c>
      <c r="AV224" s="973">
        <f t="shared" si="41"/>
        <v>0</v>
      </c>
      <c r="AW224" s="974">
        <f>IF(AR224="",0,ROUND((AT224*$AT$7)*데이터입력!$AF$14+(AT224*$AU$7)*데이터입력!$AF$14+(AT224*$AU$7*$AV$7)*데이터입력!$AF$14+(AT224*$AW$7)*데이터입력!$AF$14+(AT224*$AX$7)*데이터입력!$AF$14,-1))</f>
        <v>0</v>
      </c>
      <c r="AX224" s="975">
        <f t="shared" si="42"/>
        <v>0</v>
      </c>
      <c r="AY224" s="976">
        <f>IFERROR(IF($AE$2=TRUE,IF(AR224+AS224=0,0,AR224+AS224),ROUND(IF(데이터입력!$AF$14=100%,ROUND(AR224*$AR$1,-3),ROUND(AR224*$AR$1,-3)-ROUND(((AR224*$AR$1)*$AT$4)*(데이터입력!$AF$14-100%)+((AR224*$AR$1)*$AU$4)*(데이터입력!$AF$14-100%)+((AR224*$AR$1)*$AU$4*$AV$4)*(데이터입력!$AF$14-100%)+((AR224*$AR$1)*$AW$4)*(데이터입력!$AF$14-100%),-1)),0)),0)</f>
        <v>0</v>
      </c>
      <c r="AZ224" s="977">
        <f>IFERROR(IF(AR224+AS224=0,0,IF(데이터입력!$AF$12=100%,(AT224),(AT224)+ROUND(AT224*(데이터입력!$AF$12-100%),-1))),0)</f>
        <v>0</v>
      </c>
      <c r="BA224" s="1097" t="str">
        <f>IFERROR(IF(AZ224=0,"",IF(AND(예산실적비교표!AP224&gt;0,예산실적비교표!AW224=0),"",ROUND(AZ224/12,0))),"")</f>
        <v/>
      </c>
      <c r="BB224" s="1096" t="str">
        <f>IF(BA224="","",IF(데이터입력!$O$70="",ROUND(AZ224/12,0),ROUND(데이터입력!$O$70/데이터입력!$Y$8/$BC$63,0)))</f>
        <v/>
      </c>
    </row>
    <row r="225" spans="42:54">
      <c r="AP225" s="1035" t="str">
        <f>IF(예산실적비교표!AL225&lt;&gt;"",예산실적비교표!AL225,"")</f>
        <v/>
      </c>
      <c r="AQ225" s="1036" t="str">
        <f>IF(예산실적비교표!AM225&lt;&gt;"",예산실적비교표!AM225,"")</f>
        <v/>
      </c>
      <c r="AR225" s="1037">
        <f>IF(AND(예산실적비교표!AN225&lt;&gt;"",예산실적비교표!AN225&gt;1),예산실적비교표!AN225,0)</f>
        <v>0</v>
      </c>
      <c r="AS225" s="1038">
        <f>IF(예산실적비교표!AO225&lt;&gt;"",예산실적비교표!AO225,0)</f>
        <v>0</v>
      </c>
      <c r="AT225" s="971">
        <f t="shared" si="40"/>
        <v>0</v>
      </c>
      <c r="AU225" s="1039">
        <f>IF(예산실적비교표!AQ225&lt;&gt;"",예산실적비교표!AQ225,0)</f>
        <v>0</v>
      </c>
      <c r="AV225" s="973">
        <f t="shared" si="41"/>
        <v>0</v>
      </c>
      <c r="AW225" s="974">
        <f>IF(AR225="",0,ROUND((AT225*$AT$7)*데이터입력!$AF$14+(AT225*$AU$7)*데이터입력!$AF$14+(AT225*$AU$7*$AV$7)*데이터입력!$AF$14+(AT225*$AW$7)*데이터입력!$AF$14+(AT225*$AX$7)*데이터입력!$AF$14,-1))</f>
        <v>0</v>
      </c>
      <c r="AX225" s="975">
        <f t="shared" si="42"/>
        <v>0</v>
      </c>
      <c r="AY225" s="976">
        <f>IFERROR(IF($AE$2=TRUE,IF(AR225+AS225=0,0,AR225+AS225),ROUND(IF(데이터입력!$AF$14=100%,ROUND(AR225*$AR$1,-3),ROUND(AR225*$AR$1,-3)-ROUND(((AR225*$AR$1)*$AT$4)*(데이터입력!$AF$14-100%)+((AR225*$AR$1)*$AU$4)*(데이터입력!$AF$14-100%)+((AR225*$AR$1)*$AU$4*$AV$4)*(데이터입력!$AF$14-100%)+((AR225*$AR$1)*$AW$4)*(데이터입력!$AF$14-100%),-1)),0)),0)</f>
        <v>0</v>
      </c>
      <c r="AZ225" s="977">
        <f>IFERROR(IF(AR225+AS225=0,0,IF(데이터입력!$AF$12=100%,(AT225),(AT225)+ROUND(AT225*(데이터입력!$AF$12-100%),-1))),0)</f>
        <v>0</v>
      </c>
      <c r="BA225" s="1097" t="str">
        <f>IFERROR(IF(AZ225=0,"",IF(AND(예산실적비교표!AP225&gt;0,예산실적비교표!AW225=0),"",ROUND(AZ225/12,0))),"")</f>
        <v/>
      </c>
      <c r="BB225" s="1096" t="str">
        <f>IF(BA225="","",IF(데이터입력!$O$70="",ROUND(AZ225/12,0),ROUND(데이터입력!$O$70/데이터입력!$Y$8/$BC$63,0)))</f>
        <v/>
      </c>
    </row>
    <row r="226" spans="42:54">
      <c r="AP226" s="1035" t="str">
        <f>IF(예산실적비교표!AL226&lt;&gt;"",예산실적비교표!AL226,"")</f>
        <v/>
      </c>
      <c r="AQ226" s="1036" t="str">
        <f>IF(예산실적비교표!AM226&lt;&gt;"",예산실적비교표!AM226,"")</f>
        <v/>
      </c>
      <c r="AR226" s="1037">
        <f>IF(AND(예산실적비교표!AN226&lt;&gt;"",예산실적비교표!AN226&gt;1),예산실적비교표!AN226,0)</f>
        <v>0</v>
      </c>
      <c r="AS226" s="1038">
        <f>IF(예산실적비교표!AO226&lt;&gt;"",예산실적비교표!AO226,0)</f>
        <v>0</v>
      </c>
      <c r="AT226" s="971">
        <f t="shared" si="40"/>
        <v>0</v>
      </c>
      <c r="AU226" s="1039">
        <f>IF(예산실적비교표!AQ226&lt;&gt;"",예산실적비교표!AQ226,0)</f>
        <v>0</v>
      </c>
      <c r="AV226" s="973">
        <f t="shared" si="41"/>
        <v>0</v>
      </c>
      <c r="AW226" s="974">
        <f>IF(AR226="",0,ROUND((AT226*$AT$7)*데이터입력!$AF$14+(AT226*$AU$7)*데이터입력!$AF$14+(AT226*$AU$7*$AV$7)*데이터입력!$AF$14+(AT226*$AW$7)*데이터입력!$AF$14+(AT226*$AX$7)*데이터입력!$AF$14,-1))</f>
        <v>0</v>
      </c>
      <c r="AX226" s="975">
        <f t="shared" si="42"/>
        <v>0</v>
      </c>
      <c r="AY226" s="976">
        <f>IFERROR(IF($AE$2=TRUE,IF(AR226+AS226=0,0,AR226+AS226),ROUND(IF(데이터입력!$AF$14=100%,ROUND(AR226*$AR$1,-3),ROUND(AR226*$AR$1,-3)-ROUND(((AR226*$AR$1)*$AT$4)*(데이터입력!$AF$14-100%)+((AR226*$AR$1)*$AU$4)*(데이터입력!$AF$14-100%)+((AR226*$AR$1)*$AU$4*$AV$4)*(데이터입력!$AF$14-100%)+((AR226*$AR$1)*$AW$4)*(데이터입력!$AF$14-100%),-1)),0)),0)</f>
        <v>0</v>
      </c>
      <c r="AZ226" s="977">
        <f>IFERROR(IF(AR226+AS226=0,0,IF(데이터입력!$AF$12=100%,(AT226),(AT226)+ROUND(AT226*(데이터입력!$AF$12-100%),-1))),0)</f>
        <v>0</v>
      </c>
      <c r="BA226" s="1097" t="str">
        <f>IFERROR(IF(AZ226=0,"",IF(AND(예산실적비교표!AP226&gt;0,예산실적비교표!AW226=0),"",ROUND(AZ226/12,0))),"")</f>
        <v/>
      </c>
      <c r="BB226" s="1096" t="str">
        <f>IF(BA226="","",IF(데이터입력!$O$70="",ROUND(AZ226/12,0),ROUND(데이터입력!$O$70/데이터입력!$Y$8/$BC$63,0)))</f>
        <v/>
      </c>
    </row>
    <row r="227" spans="42:54">
      <c r="AP227" s="1035" t="str">
        <f>IF(예산실적비교표!AL227&lt;&gt;"",예산실적비교표!AL227,"")</f>
        <v/>
      </c>
      <c r="AQ227" s="1036" t="str">
        <f>IF(예산실적비교표!AM227&lt;&gt;"",예산실적비교표!AM227,"")</f>
        <v/>
      </c>
      <c r="AR227" s="1037">
        <f>IF(AND(예산실적비교표!AN227&lt;&gt;"",예산실적비교표!AN227&gt;1),예산실적비교표!AN227,0)</f>
        <v>0</v>
      </c>
      <c r="AS227" s="1038">
        <f>IF(예산실적비교표!AO227&lt;&gt;"",예산실적비교표!AO227,0)</f>
        <v>0</v>
      </c>
      <c r="AT227" s="971">
        <f t="shared" si="40"/>
        <v>0</v>
      </c>
      <c r="AU227" s="1039">
        <f>IF(예산실적비교표!AQ227&lt;&gt;"",예산실적비교표!AQ227,0)</f>
        <v>0</v>
      </c>
      <c r="AV227" s="973">
        <f t="shared" si="41"/>
        <v>0</v>
      </c>
      <c r="AW227" s="974">
        <f>IF(AR227="",0,ROUND((AT227*$AT$7)*데이터입력!$AF$14+(AT227*$AU$7)*데이터입력!$AF$14+(AT227*$AU$7*$AV$7)*데이터입력!$AF$14+(AT227*$AW$7)*데이터입력!$AF$14+(AT227*$AX$7)*데이터입력!$AF$14,-1))</f>
        <v>0</v>
      </c>
      <c r="AX227" s="975">
        <f t="shared" si="42"/>
        <v>0</v>
      </c>
      <c r="AY227" s="976">
        <f>IFERROR(IF($AE$2=TRUE,IF(AR227+AS227=0,0,AR227+AS227),ROUND(IF(데이터입력!$AF$14=100%,ROUND(AR227*$AR$1,-3),ROUND(AR227*$AR$1,-3)-ROUND(((AR227*$AR$1)*$AT$4)*(데이터입력!$AF$14-100%)+((AR227*$AR$1)*$AU$4)*(데이터입력!$AF$14-100%)+((AR227*$AR$1)*$AU$4*$AV$4)*(데이터입력!$AF$14-100%)+((AR227*$AR$1)*$AW$4)*(데이터입력!$AF$14-100%),-1)),0)),0)</f>
        <v>0</v>
      </c>
      <c r="AZ227" s="977">
        <f>IFERROR(IF(AR227+AS227=0,0,IF(데이터입력!$AF$12=100%,(AT227),(AT227)+ROUND(AT227*(데이터입력!$AF$12-100%),-1))),0)</f>
        <v>0</v>
      </c>
      <c r="BA227" s="1097" t="str">
        <f>IFERROR(IF(AZ227=0,"",IF(AND(예산실적비교표!AP227&gt;0,예산실적비교표!AW227=0),"",ROUND(AZ227/12,0))),"")</f>
        <v/>
      </c>
      <c r="BB227" s="1096" t="str">
        <f>IF(BA227="","",IF(데이터입력!$O$70="",ROUND(AZ227/12,0),ROUND(데이터입력!$O$70/데이터입력!$Y$8/$BC$63,0)))</f>
        <v/>
      </c>
    </row>
    <row r="228" spans="42:54">
      <c r="AP228" s="1035" t="str">
        <f>IF(예산실적비교표!AL228&lt;&gt;"",예산실적비교표!AL228,"")</f>
        <v/>
      </c>
      <c r="AQ228" s="1036" t="str">
        <f>IF(예산실적비교표!AM228&lt;&gt;"",예산실적비교표!AM228,"")</f>
        <v/>
      </c>
      <c r="AR228" s="1037">
        <f>IF(AND(예산실적비교표!AN228&lt;&gt;"",예산실적비교표!AN228&gt;1),예산실적비교표!AN228,0)</f>
        <v>0</v>
      </c>
      <c r="AS228" s="1038">
        <f>IF(예산실적비교표!AO228&lt;&gt;"",예산실적비교표!AO228,0)</f>
        <v>0</v>
      </c>
      <c r="AT228" s="971">
        <f t="shared" si="40"/>
        <v>0</v>
      </c>
      <c r="AU228" s="1039">
        <f>IF(예산실적비교표!AQ228&lt;&gt;"",예산실적비교표!AQ228,0)</f>
        <v>0</v>
      </c>
      <c r="AV228" s="973">
        <f t="shared" si="41"/>
        <v>0</v>
      </c>
      <c r="AW228" s="974">
        <f>IF(AR228="",0,ROUND((AT228*$AT$7)*데이터입력!$AF$14+(AT228*$AU$7)*데이터입력!$AF$14+(AT228*$AU$7*$AV$7)*데이터입력!$AF$14+(AT228*$AW$7)*데이터입력!$AF$14+(AT228*$AX$7)*데이터입력!$AF$14,-1))</f>
        <v>0</v>
      </c>
      <c r="AX228" s="975">
        <f t="shared" si="42"/>
        <v>0</v>
      </c>
      <c r="AY228" s="976">
        <f>IFERROR(IF($AE$2=TRUE,IF(AR228+AS228=0,0,AR228+AS228),ROUND(IF(데이터입력!$AF$14=100%,ROUND(AR228*$AR$1,-3),ROUND(AR228*$AR$1,-3)-ROUND(((AR228*$AR$1)*$AT$4)*(데이터입력!$AF$14-100%)+((AR228*$AR$1)*$AU$4)*(데이터입력!$AF$14-100%)+((AR228*$AR$1)*$AU$4*$AV$4)*(데이터입력!$AF$14-100%)+((AR228*$AR$1)*$AW$4)*(데이터입력!$AF$14-100%),-1)),0)),0)</f>
        <v>0</v>
      </c>
      <c r="AZ228" s="977">
        <f>IFERROR(IF(AR228+AS228=0,0,IF(데이터입력!$AF$12=100%,(AT228),(AT228)+ROUND(AT228*(데이터입력!$AF$12-100%),-1))),0)</f>
        <v>0</v>
      </c>
      <c r="BA228" s="1097" t="str">
        <f>IFERROR(IF(AZ228=0,"",IF(AND(예산실적비교표!AP228&gt;0,예산실적비교표!AW228=0),"",ROUND(AZ228/12,0))),"")</f>
        <v/>
      </c>
      <c r="BB228" s="1096" t="str">
        <f>IF(BA228="","",IF(데이터입력!$O$70="",ROUND(AZ228/12,0),ROUND(데이터입력!$O$70/데이터입력!$Y$8/$BC$63,0)))</f>
        <v/>
      </c>
    </row>
    <row r="229" spans="42:54">
      <c r="AP229" s="1035" t="str">
        <f>IF(예산실적비교표!AL229&lt;&gt;"",예산실적비교표!AL229,"")</f>
        <v/>
      </c>
      <c r="AQ229" s="1036" t="str">
        <f>IF(예산실적비교표!AM229&lt;&gt;"",예산실적비교표!AM229,"")</f>
        <v/>
      </c>
      <c r="AR229" s="1037">
        <f>IF(AND(예산실적비교표!AN229&lt;&gt;"",예산실적비교표!AN229&gt;1),예산실적비교표!AN229,0)</f>
        <v>0</v>
      </c>
      <c r="AS229" s="1038">
        <f>IF(예산실적비교표!AO229&lt;&gt;"",예산실적비교표!AO229,0)</f>
        <v>0</v>
      </c>
      <c r="AT229" s="971">
        <f t="shared" si="40"/>
        <v>0</v>
      </c>
      <c r="AU229" s="1039">
        <f>IF(예산실적비교표!AQ229&lt;&gt;"",예산실적비교표!AQ229,0)</f>
        <v>0</v>
      </c>
      <c r="AV229" s="973">
        <f t="shared" si="41"/>
        <v>0</v>
      </c>
      <c r="AW229" s="974">
        <f>IF(AR229="",0,ROUND((AT229*$AT$7)*데이터입력!$AF$14+(AT229*$AU$7)*데이터입력!$AF$14+(AT229*$AU$7*$AV$7)*데이터입력!$AF$14+(AT229*$AW$7)*데이터입력!$AF$14+(AT229*$AX$7)*데이터입력!$AF$14,-1))</f>
        <v>0</v>
      </c>
      <c r="AX229" s="975">
        <f t="shared" si="42"/>
        <v>0</v>
      </c>
      <c r="AY229" s="976">
        <f>IFERROR(IF($AE$2=TRUE,IF(AR229+AS229=0,0,AR229+AS229),ROUND(IF(데이터입력!$AF$14=100%,ROUND(AR229*$AR$1,-3),ROUND(AR229*$AR$1,-3)-ROUND(((AR229*$AR$1)*$AT$4)*(데이터입력!$AF$14-100%)+((AR229*$AR$1)*$AU$4)*(데이터입력!$AF$14-100%)+((AR229*$AR$1)*$AU$4*$AV$4)*(데이터입력!$AF$14-100%)+((AR229*$AR$1)*$AW$4)*(데이터입력!$AF$14-100%),-1)),0)),0)</f>
        <v>0</v>
      </c>
      <c r="AZ229" s="977">
        <f>IFERROR(IF(AR229+AS229=0,0,IF(데이터입력!$AF$12=100%,(AT229),(AT229)+ROUND(AT229*(데이터입력!$AF$12-100%),-1))),0)</f>
        <v>0</v>
      </c>
      <c r="BA229" s="1097" t="str">
        <f>IFERROR(IF(AZ229=0,"",IF(AND(예산실적비교표!AP229&gt;0,예산실적비교표!AW229=0),"",ROUND(AZ229/12,0))),"")</f>
        <v/>
      </c>
      <c r="BB229" s="1096" t="str">
        <f>IF(BA229="","",IF(데이터입력!$O$70="",ROUND(AZ229/12,0),ROUND(데이터입력!$O$70/데이터입력!$Y$8/$BC$63,0)))</f>
        <v/>
      </c>
    </row>
    <row r="230" spans="42:54">
      <c r="AP230" s="1035" t="str">
        <f>IF(예산실적비교표!AL230&lt;&gt;"",예산실적비교표!AL230,"")</f>
        <v/>
      </c>
      <c r="AQ230" s="1036" t="str">
        <f>IF(예산실적비교표!AM230&lt;&gt;"",예산실적비교표!AM230,"")</f>
        <v/>
      </c>
      <c r="AR230" s="1037">
        <f>IF(AND(예산실적비교표!AN230&lt;&gt;"",예산실적비교표!AN230&gt;1),예산실적비교표!AN230,0)</f>
        <v>0</v>
      </c>
      <c r="AS230" s="1038">
        <f>IF(예산실적비교표!AO230&lt;&gt;"",예산실적비교표!AO230,0)</f>
        <v>0</v>
      </c>
      <c r="AT230" s="971">
        <f t="shared" si="40"/>
        <v>0</v>
      </c>
      <c r="AU230" s="1039">
        <f>IF(예산실적비교표!AQ230&lt;&gt;"",예산실적비교표!AQ230,0)</f>
        <v>0</v>
      </c>
      <c r="AV230" s="973">
        <f t="shared" si="41"/>
        <v>0</v>
      </c>
      <c r="AW230" s="974">
        <f>IF(AR230="",0,ROUND((AT230*$AT$7)*데이터입력!$AF$14+(AT230*$AU$7)*데이터입력!$AF$14+(AT230*$AU$7*$AV$7)*데이터입력!$AF$14+(AT230*$AW$7)*데이터입력!$AF$14+(AT230*$AX$7)*데이터입력!$AF$14,-1))</f>
        <v>0</v>
      </c>
      <c r="AX230" s="975">
        <f t="shared" si="42"/>
        <v>0</v>
      </c>
      <c r="AY230" s="976">
        <f>IFERROR(IF($AE$2=TRUE,IF(AR230+AS230=0,0,AR230+AS230),ROUND(IF(데이터입력!$AF$14=100%,ROUND(AR230*$AR$1,-3),ROUND(AR230*$AR$1,-3)-ROUND(((AR230*$AR$1)*$AT$4)*(데이터입력!$AF$14-100%)+((AR230*$AR$1)*$AU$4)*(데이터입력!$AF$14-100%)+((AR230*$AR$1)*$AU$4*$AV$4)*(데이터입력!$AF$14-100%)+((AR230*$AR$1)*$AW$4)*(데이터입력!$AF$14-100%),-1)),0)),0)</f>
        <v>0</v>
      </c>
      <c r="AZ230" s="977">
        <f>IFERROR(IF(AR230+AS230=0,0,IF(데이터입력!$AF$12=100%,(AT230),(AT230)+ROUND(AT230*(데이터입력!$AF$12-100%),-1))),0)</f>
        <v>0</v>
      </c>
      <c r="BA230" s="1097" t="str">
        <f>IFERROR(IF(AZ230=0,"",IF(AND(예산실적비교표!AP230&gt;0,예산실적비교표!AW230=0),"",ROUND(AZ230/12,0))),"")</f>
        <v/>
      </c>
      <c r="BB230" s="1096" t="str">
        <f>IF(BA230="","",IF(데이터입력!$O$70="",ROUND(AZ230/12,0),ROUND(데이터입력!$O$70/데이터입력!$Y$8/$BC$63,0)))</f>
        <v/>
      </c>
    </row>
    <row r="231" spans="42:54">
      <c r="AP231" s="1035" t="str">
        <f>IF(예산실적비교표!AL231&lt;&gt;"",예산실적비교표!AL231,"")</f>
        <v/>
      </c>
      <c r="AQ231" s="1036" t="str">
        <f>IF(예산실적비교표!AM231&lt;&gt;"",예산실적비교표!AM231,"")</f>
        <v/>
      </c>
      <c r="AR231" s="1037">
        <f>IF(AND(예산실적비교표!AN231&lt;&gt;"",예산실적비교표!AN231&gt;1),예산실적비교표!AN231,0)</f>
        <v>0</v>
      </c>
      <c r="AS231" s="1038">
        <f>IF(예산실적비교표!AO231&lt;&gt;"",예산실적비교표!AO231,0)</f>
        <v>0</v>
      </c>
      <c r="AT231" s="971">
        <f t="shared" si="40"/>
        <v>0</v>
      </c>
      <c r="AU231" s="1039">
        <f>IF(예산실적비교표!AQ231&lt;&gt;"",예산실적비교표!AQ231,0)</f>
        <v>0</v>
      </c>
      <c r="AV231" s="973">
        <f t="shared" si="41"/>
        <v>0</v>
      </c>
      <c r="AW231" s="974">
        <f>IF(AR231="",0,ROUND((AT231*$AT$7)*데이터입력!$AF$14+(AT231*$AU$7)*데이터입력!$AF$14+(AT231*$AU$7*$AV$7)*데이터입력!$AF$14+(AT231*$AW$7)*데이터입력!$AF$14+(AT231*$AX$7)*데이터입력!$AF$14,-1))</f>
        <v>0</v>
      </c>
      <c r="AX231" s="975">
        <f t="shared" si="42"/>
        <v>0</v>
      </c>
      <c r="AY231" s="976">
        <f>IFERROR(IF($AE$2=TRUE,IF(AR231+AS231=0,0,AR231+AS231),ROUND(IF(데이터입력!$AF$14=100%,ROUND(AR231*$AR$1,-3),ROUND(AR231*$AR$1,-3)-ROUND(((AR231*$AR$1)*$AT$4)*(데이터입력!$AF$14-100%)+((AR231*$AR$1)*$AU$4)*(데이터입력!$AF$14-100%)+((AR231*$AR$1)*$AU$4*$AV$4)*(데이터입력!$AF$14-100%)+((AR231*$AR$1)*$AW$4)*(데이터입력!$AF$14-100%),-1)),0)),0)</f>
        <v>0</v>
      </c>
      <c r="AZ231" s="977">
        <f>IFERROR(IF(AR231+AS231=0,0,IF(데이터입력!$AF$12=100%,(AT231),(AT231)+ROUND(AT231*(데이터입력!$AF$12-100%),-1))),0)</f>
        <v>0</v>
      </c>
      <c r="BA231" s="1097" t="str">
        <f>IFERROR(IF(AZ231=0,"",IF(AND(예산실적비교표!AP231&gt;0,예산실적비교표!AW231=0),"",ROUND(AZ231/12,0))),"")</f>
        <v/>
      </c>
      <c r="BB231" s="1096" t="str">
        <f>IF(BA231="","",IF(데이터입력!$O$70="",ROUND(AZ231/12,0),ROUND(데이터입력!$O$70/데이터입력!$Y$8/$BC$63,0)))</f>
        <v/>
      </c>
    </row>
    <row r="232" spans="42:54">
      <c r="AP232" s="1035" t="str">
        <f>IF(예산실적비교표!AL232&lt;&gt;"",예산실적비교표!AL232,"")</f>
        <v/>
      </c>
      <c r="AQ232" s="1036" t="str">
        <f>IF(예산실적비교표!AM232&lt;&gt;"",예산실적비교표!AM232,"")</f>
        <v/>
      </c>
      <c r="AR232" s="1037">
        <f>IF(AND(예산실적비교표!AN232&lt;&gt;"",예산실적비교표!AN232&gt;1),예산실적비교표!AN232,0)</f>
        <v>0</v>
      </c>
      <c r="AS232" s="1038">
        <f>IF(예산실적비교표!AO232&lt;&gt;"",예산실적비교표!AO232,0)</f>
        <v>0</v>
      </c>
      <c r="AT232" s="971">
        <f t="shared" si="40"/>
        <v>0</v>
      </c>
      <c r="AU232" s="1039">
        <f>IF(예산실적비교표!AQ232&lt;&gt;"",예산실적비교표!AQ232,0)</f>
        <v>0</v>
      </c>
      <c r="AV232" s="973">
        <f t="shared" si="41"/>
        <v>0</v>
      </c>
      <c r="AW232" s="974">
        <f>IF(AR232="",0,ROUND((AT232*$AT$7)*데이터입력!$AF$14+(AT232*$AU$7)*데이터입력!$AF$14+(AT232*$AU$7*$AV$7)*데이터입력!$AF$14+(AT232*$AW$7)*데이터입력!$AF$14+(AT232*$AX$7)*데이터입력!$AF$14,-1))</f>
        <v>0</v>
      </c>
      <c r="AX232" s="975">
        <f t="shared" si="42"/>
        <v>0</v>
      </c>
      <c r="AY232" s="976">
        <f>IFERROR(IF($AE$2=TRUE,IF(AR232+AS232=0,0,AR232+AS232),ROUND(IF(데이터입력!$AF$14=100%,ROUND(AR232*$AR$1,-3),ROUND(AR232*$AR$1,-3)-ROUND(((AR232*$AR$1)*$AT$4)*(데이터입력!$AF$14-100%)+((AR232*$AR$1)*$AU$4)*(데이터입력!$AF$14-100%)+((AR232*$AR$1)*$AU$4*$AV$4)*(데이터입력!$AF$14-100%)+((AR232*$AR$1)*$AW$4)*(데이터입력!$AF$14-100%),-1)),0)),0)</f>
        <v>0</v>
      </c>
      <c r="AZ232" s="977">
        <f>IFERROR(IF(AR232+AS232=0,0,IF(데이터입력!$AF$12=100%,(AT232),(AT232)+ROUND(AT232*(데이터입력!$AF$12-100%),-1))),0)</f>
        <v>0</v>
      </c>
      <c r="BA232" s="1097" t="str">
        <f>IFERROR(IF(AZ232=0,"",IF(AND(예산실적비교표!AP232&gt;0,예산실적비교표!AW232=0),"",ROUND(AZ232/12,0))),"")</f>
        <v/>
      </c>
      <c r="BB232" s="1096" t="str">
        <f>IF(BA232="","",IF(데이터입력!$O$70="",ROUND(AZ232/12,0),ROUND(데이터입력!$O$70/데이터입력!$Y$8/$BC$63,0)))</f>
        <v/>
      </c>
    </row>
    <row r="233" spans="42:54">
      <c r="AP233" s="1035" t="str">
        <f>IF(예산실적비교표!AL233&lt;&gt;"",예산실적비교표!AL233,"")</f>
        <v/>
      </c>
      <c r="AQ233" s="1036" t="str">
        <f>IF(예산실적비교표!AM233&lt;&gt;"",예산실적비교표!AM233,"")</f>
        <v/>
      </c>
      <c r="AR233" s="1037">
        <f>IF(AND(예산실적비교표!AN233&lt;&gt;"",예산실적비교표!AN233&gt;1),예산실적비교표!AN233,0)</f>
        <v>0</v>
      </c>
      <c r="AS233" s="1038">
        <f>IF(예산실적비교표!AO233&lt;&gt;"",예산실적비교표!AO233,0)</f>
        <v>0</v>
      </c>
      <c r="AT233" s="971">
        <f t="shared" si="40"/>
        <v>0</v>
      </c>
      <c r="AU233" s="1039">
        <f>IF(예산실적비교표!AQ233&lt;&gt;"",예산실적비교표!AQ233,0)</f>
        <v>0</v>
      </c>
      <c r="AV233" s="973">
        <f t="shared" si="41"/>
        <v>0</v>
      </c>
      <c r="AW233" s="974">
        <f>IF(AR233="",0,ROUND((AT233*$AT$7)*데이터입력!$AF$14+(AT233*$AU$7)*데이터입력!$AF$14+(AT233*$AU$7*$AV$7)*데이터입력!$AF$14+(AT233*$AW$7)*데이터입력!$AF$14+(AT233*$AX$7)*데이터입력!$AF$14,-1))</f>
        <v>0</v>
      </c>
      <c r="AX233" s="975">
        <f t="shared" si="42"/>
        <v>0</v>
      </c>
      <c r="AY233" s="976">
        <f>IFERROR(IF($AE$2=TRUE,IF(AR233+AS233=0,0,AR233+AS233),ROUND(IF(데이터입력!$AF$14=100%,ROUND(AR233*$AR$1,-3),ROUND(AR233*$AR$1,-3)-ROUND(((AR233*$AR$1)*$AT$4)*(데이터입력!$AF$14-100%)+((AR233*$AR$1)*$AU$4)*(데이터입력!$AF$14-100%)+((AR233*$AR$1)*$AU$4*$AV$4)*(데이터입력!$AF$14-100%)+((AR233*$AR$1)*$AW$4)*(데이터입력!$AF$14-100%),-1)),0)),0)</f>
        <v>0</v>
      </c>
      <c r="AZ233" s="977">
        <f>IFERROR(IF(AR233+AS233=0,0,IF(데이터입력!$AF$12=100%,(AT233),(AT233)+ROUND(AT233*(데이터입력!$AF$12-100%),-1))),0)</f>
        <v>0</v>
      </c>
      <c r="BA233" s="1097" t="str">
        <f>IFERROR(IF(AZ233=0,"",IF(AND(예산실적비교표!AP233&gt;0,예산실적비교표!AW233=0),"",ROUND(AZ233/12,0))),"")</f>
        <v/>
      </c>
      <c r="BB233" s="1096" t="str">
        <f>IF(BA233="","",IF(데이터입력!$O$70="",ROUND(AZ233/12,0),ROUND(데이터입력!$O$70/데이터입력!$Y$8/$BC$63,0)))</f>
        <v/>
      </c>
    </row>
    <row r="234" spans="42:54">
      <c r="AP234" s="1035" t="str">
        <f>IF(예산실적비교표!AL234&lt;&gt;"",예산실적비교표!AL234,"")</f>
        <v/>
      </c>
      <c r="AQ234" s="1036" t="str">
        <f>IF(예산실적비교표!AM234&lt;&gt;"",예산실적비교표!AM234,"")</f>
        <v/>
      </c>
      <c r="AR234" s="1037">
        <f>IF(AND(예산실적비교표!AN234&lt;&gt;"",예산실적비교표!AN234&gt;1),예산실적비교표!AN234,0)</f>
        <v>0</v>
      </c>
      <c r="AS234" s="1038">
        <f>IF(예산실적비교표!AO234&lt;&gt;"",예산실적비교표!AO234,0)</f>
        <v>0</v>
      </c>
      <c r="AT234" s="971">
        <f t="shared" si="40"/>
        <v>0</v>
      </c>
      <c r="AU234" s="1039">
        <f>IF(예산실적비교표!AQ234&lt;&gt;"",예산실적비교표!AQ234,0)</f>
        <v>0</v>
      </c>
      <c r="AV234" s="973">
        <f t="shared" si="41"/>
        <v>0</v>
      </c>
      <c r="AW234" s="974">
        <f>IF(AR234="",0,ROUND((AT234*$AT$7)*데이터입력!$AF$14+(AT234*$AU$7)*데이터입력!$AF$14+(AT234*$AU$7*$AV$7)*데이터입력!$AF$14+(AT234*$AW$7)*데이터입력!$AF$14+(AT234*$AX$7)*데이터입력!$AF$14,-1))</f>
        <v>0</v>
      </c>
      <c r="AX234" s="975">
        <f t="shared" si="42"/>
        <v>0</v>
      </c>
      <c r="AY234" s="976">
        <f>IFERROR(IF($AE$2=TRUE,IF(AR234+AS234=0,0,AR234+AS234),ROUND(IF(데이터입력!$AF$14=100%,ROUND(AR234*$AR$1,-3),ROUND(AR234*$AR$1,-3)-ROUND(((AR234*$AR$1)*$AT$4)*(데이터입력!$AF$14-100%)+((AR234*$AR$1)*$AU$4)*(데이터입력!$AF$14-100%)+((AR234*$AR$1)*$AU$4*$AV$4)*(데이터입력!$AF$14-100%)+((AR234*$AR$1)*$AW$4)*(데이터입력!$AF$14-100%),-1)),0)),0)</f>
        <v>0</v>
      </c>
      <c r="AZ234" s="977">
        <f>IFERROR(IF(AR234+AS234=0,0,IF(데이터입력!$AF$12=100%,(AT234),(AT234)+ROUND(AT234*(데이터입력!$AF$12-100%),-1))),0)</f>
        <v>0</v>
      </c>
      <c r="BA234" s="1097" t="str">
        <f>IFERROR(IF(AZ234=0,"",IF(AND(예산실적비교표!AP234&gt;0,예산실적비교표!AW234=0),"",ROUND(AZ234/12,0))),"")</f>
        <v/>
      </c>
      <c r="BB234" s="1096" t="str">
        <f>IF(BA234="","",IF(데이터입력!$O$70="",ROUND(AZ234/12,0),ROUND(데이터입력!$O$70/데이터입력!$Y$8/$BC$63,0)))</f>
        <v/>
      </c>
    </row>
    <row r="235" spans="42:54">
      <c r="AP235" s="1035" t="str">
        <f>IF(예산실적비교표!AL235&lt;&gt;"",예산실적비교표!AL235,"")</f>
        <v/>
      </c>
      <c r="AQ235" s="1036" t="str">
        <f>IF(예산실적비교표!AM235&lt;&gt;"",예산실적비교표!AM235,"")</f>
        <v/>
      </c>
      <c r="AR235" s="1037">
        <f>IF(AND(예산실적비교표!AN235&lt;&gt;"",예산실적비교표!AN235&gt;1),예산실적비교표!AN235,0)</f>
        <v>0</v>
      </c>
      <c r="AS235" s="1038">
        <f>IF(예산실적비교표!AO235&lt;&gt;"",예산실적비교표!AO235,0)</f>
        <v>0</v>
      </c>
      <c r="AT235" s="971">
        <f t="shared" si="40"/>
        <v>0</v>
      </c>
      <c r="AU235" s="1039">
        <f>IF(예산실적비교표!AQ235&lt;&gt;"",예산실적비교표!AQ235,0)</f>
        <v>0</v>
      </c>
      <c r="AV235" s="973">
        <f t="shared" si="41"/>
        <v>0</v>
      </c>
      <c r="AW235" s="974">
        <f>IF(AR235="",0,ROUND((AT235*$AT$7)*데이터입력!$AF$14+(AT235*$AU$7)*데이터입력!$AF$14+(AT235*$AU$7*$AV$7)*데이터입력!$AF$14+(AT235*$AW$7)*데이터입력!$AF$14+(AT235*$AX$7)*데이터입력!$AF$14,-1))</f>
        <v>0</v>
      </c>
      <c r="AX235" s="975">
        <f t="shared" si="42"/>
        <v>0</v>
      </c>
      <c r="AY235" s="976">
        <f>IFERROR(IF($AE$2=TRUE,IF(AR235+AS235=0,0,AR235+AS235),ROUND(IF(데이터입력!$AF$14=100%,ROUND(AR235*$AR$1,-3),ROUND(AR235*$AR$1,-3)-ROUND(((AR235*$AR$1)*$AT$4)*(데이터입력!$AF$14-100%)+((AR235*$AR$1)*$AU$4)*(데이터입력!$AF$14-100%)+((AR235*$AR$1)*$AU$4*$AV$4)*(데이터입력!$AF$14-100%)+((AR235*$AR$1)*$AW$4)*(데이터입력!$AF$14-100%),-1)),0)),0)</f>
        <v>0</v>
      </c>
      <c r="AZ235" s="977">
        <f>IFERROR(IF(AR235+AS235=0,0,IF(데이터입력!$AF$12=100%,(AT235),(AT235)+ROUND(AT235*(데이터입력!$AF$12-100%),-1))),0)</f>
        <v>0</v>
      </c>
      <c r="BA235" s="1097" t="str">
        <f>IFERROR(IF(AZ235=0,"",IF(AND(예산실적비교표!AP235&gt;0,예산실적비교표!AW235=0),"",ROUND(AZ235/12,0))),"")</f>
        <v/>
      </c>
      <c r="BB235" s="1096" t="str">
        <f>IF(BA235="","",IF(데이터입력!$O$70="",ROUND(AZ235/12,0),ROUND(데이터입력!$O$70/데이터입력!$Y$8/$BC$63,0)))</f>
        <v/>
      </c>
    </row>
    <row r="236" spans="42:54">
      <c r="AP236" s="1035" t="str">
        <f>IF(예산실적비교표!AL236&lt;&gt;"",예산실적비교표!AL236,"")</f>
        <v/>
      </c>
      <c r="AQ236" s="1036" t="str">
        <f>IF(예산실적비교표!AM236&lt;&gt;"",예산실적비교표!AM236,"")</f>
        <v/>
      </c>
      <c r="AR236" s="1037">
        <f>IF(AND(예산실적비교표!AN236&lt;&gt;"",예산실적비교표!AN236&gt;1),예산실적비교표!AN236,0)</f>
        <v>0</v>
      </c>
      <c r="AS236" s="1038">
        <f>IF(예산실적비교표!AO236&lt;&gt;"",예산실적비교표!AO236,0)</f>
        <v>0</v>
      </c>
      <c r="AT236" s="971">
        <f t="shared" si="40"/>
        <v>0</v>
      </c>
      <c r="AU236" s="1039">
        <f>IF(예산실적비교표!AQ236&lt;&gt;"",예산실적비교표!AQ236,0)</f>
        <v>0</v>
      </c>
      <c r="AV236" s="973">
        <f t="shared" si="41"/>
        <v>0</v>
      </c>
      <c r="AW236" s="974">
        <f>IF(AR236="",0,ROUND((AT236*$AT$7)*데이터입력!$AF$14+(AT236*$AU$7)*데이터입력!$AF$14+(AT236*$AU$7*$AV$7)*데이터입력!$AF$14+(AT236*$AW$7)*데이터입력!$AF$14+(AT236*$AX$7)*데이터입력!$AF$14,-1))</f>
        <v>0</v>
      </c>
      <c r="AX236" s="975">
        <f t="shared" si="42"/>
        <v>0</v>
      </c>
      <c r="AY236" s="976">
        <f>IFERROR(IF($AE$2=TRUE,IF(AR236+AS236=0,0,AR236+AS236),ROUND(IF(데이터입력!$AF$14=100%,ROUND(AR236*$AR$1,-3),ROUND(AR236*$AR$1,-3)-ROUND(((AR236*$AR$1)*$AT$4)*(데이터입력!$AF$14-100%)+((AR236*$AR$1)*$AU$4)*(데이터입력!$AF$14-100%)+((AR236*$AR$1)*$AU$4*$AV$4)*(데이터입력!$AF$14-100%)+((AR236*$AR$1)*$AW$4)*(데이터입력!$AF$14-100%),-1)),0)),0)</f>
        <v>0</v>
      </c>
      <c r="AZ236" s="977">
        <f>IFERROR(IF(AR236+AS236=0,0,IF(데이터입력!$AF$12=100%,(AT236),(AT236)+ROUND(AT236*(데이터입력!$AF$12-100%),-1))),0)</f>
        <v>0</v>
      </c>
      <c r="BA236" s="1097" t="str">
        <f>IFERROR(IF(AZ236=0,"",IF(AND(예산실적비교표!AP236&gt;0,예산실적비교표!AW236=0),"",ROUND(AZ236/12,0))),"")</f>
        <v/>
      </c>
      <c r="BB236" s="1096" t="str">
        <f>IF(BA236="","",IF(데이터입력!$O$70="",ROUND(AZ236/12,0),ROUND(데이터입력!$O$70/데이터입력!$Y$8/$BC$63,0)))</f>
        <v/>
      </c>
    </row>
    <row r="237" spans="42:54">
      <c r="AP237" s="1035" t="str">
        <f>IF(예산실적비교표!AL237&lt;&gt;"",예산실적비교표!AL237,"")</f>
        <v/>
      </c>
      <c r="AQ237" s="1036" t="str">
        <f>IF(예산실적비교표!AM237&lt;&gt;"",예산실적비교표!AM237,"")</f>
        <v/>
      </c>
      <c r="AR237" s="1037">
        <f>IF(AND(예산실적비교표!AN237&lt;&gt;"",예산실적비교표!AN237&gt;1),예산실적비교표!AN237,0)</f>
        <v>0</v>
      </c>
      <c r="AS237" s="1038">
        <f>IF(예산실적비교표!AO237&lt;&gt;"",예산실적비교표!AO237,0)</f>
        <v>0</v>
      </c>
      <c r="AT237" s="971">
        <f t="shared" si="40"/>
        <v>0</v>
      </c>
      <c r="AU237" s="1039">
        <f>IF(예산실적비교표!AQ237&lt;&gt;"",예산실적비교표!AQ237,0)</f>
        <v>0</v>
      </c>
      <c r="AV237" s="973">
        <f t="shared" si="41"/>
        <v>0</v>
      </c>
      <c r="AW237" s="974">
        <f>IF(AR237="",0,ROUND((AT237*$AT$7)*데이터입력!$AF$14+(AT237*$AU$7)*데이터입력!$AF$14+(AT237*$AU$7*$AV$7)*데이터입력!$AF$14+(AT237*$AW$7)*데이터입력!$AF$14+(AT237*$AX$7)*데이터입력!$AF$14,-1))</f>
        <v>0</v>
      </c>
      <c r="AX237" s="975">
        <f t="shared" si="42"/>
        <v>0</v>
      </c>
      <c r="AY237" s="976">
        <f>IFERROR(IF($AE$2=TRUE,IF(AR237+AS237=0,0,AR237+AS237),ROUND(IF(데이터입력!$AF$14=100%,ROUND(AR237*$AR$1,-3),ROUND(AR237*$AR$1,-3)-ROUND(((AR237*$AR$1)*$AT$4)*(데이터입력!$AF$14-100%)+((AR237*$AR$1)*$AU$4)*(데이터입력!$AF$14-100%)+((AR237*$AR$1)*$AU$4*$AV$4)*(데이터입력!$AF$14-100%)+((AR237*$AR$1)*$AW$4)*(데이터입력!$AF$14-100%),-1)),0)),0)</f>
        <v>0</v>
      </c>
      <c r="AZ237" s="977">
        <f>IFERROR(IF(AR237+AS237=0,0,IF(데이터입력!$AF$12=100%,(AT237),(AT237)+ROUND(AT237*(데이터입력!$AF$12-100%),-1))),0)</f>
        <v>0</v>
      </c>
      <c r="BA237" s="1097" t="str">
        <f>IFERROR(IF(AZ237=0,"",IF(AND(예산실적비교표!AP237&gt;0,예산실적비교표!AW237=0),"",ROUND(AZ237/12,0))),"")</f>
        <v/>
      </c>
      <c r="BB237" s="1096" t="str">
        <f>IF(BA237="","",IF(데이터입력!$O$70="",ROUND(AZ237/12,0),ROUND(데이터입력!$O$70/데이터입력!$Y$8/$BC$63,0)))</f>
        <v/>
      </c>
    </row>
    <row r="238" spans="42:54">
      <c r="AP238" s="1035" t="str">
        <f>IF(예산실적비교표!AL238&lt;&gt;"",예산실적비교표!AL238,"")</f>
        <v/>
      </c>
      <c r="AQ238" s="1036" t="str">
        <f>IF(예산실적비교표!AM238&lt;&gt;"",예산실적비교표!AM238,"")</f>
        <v/>
      </c>
      <c r="AR238" s="1037">
        <f>IF(AND(예산실적비교표!AN238&lt;&gt;"",예산실적비교표!AN238&gt;1),예산실적비교표!AN238,0)</f>
        <v>0</v>
      </c>
      <c r="AS238" s="1038">
        <f>IF(예산실적비교표!AO238&lt;&gt;"",예산실적비교표!AO238,0)</f>
        <v>0</v>
      </c>
      <c r="AT238" s="971">
        <f t="shared" si="40"/>
        <v>0</v>
      </c>
      <c r="AU238" s="1039">
        <f>IF(예산실적비교표!AQ238&lt;&gt;"",예산실적비교표!AQ238,0)</f>
        <v>0</v>
      </c>
      <c r="AV238" s="973">
        <f t="shared" si="41"/>
        <v>0</v>
      </c>
      <c r="AW238" s="974">
        <f>IF(AR238="",0,ROUND((AT238*$AT$7)*데이터입력!$AF$14+(AT238*$AU$7)*데이터입력!$AF$14+(AT238*$AU$7*$AV$7)*데이터입력!$AF$14+(AT238*$AW$7)*데이터입력!$AF$14+(AT238*$AX$7)*데이터입력!$AF$14,-1))</f>
        <v>0</v>
      </c>
      <c r="AX238" s="975">
        <f t="shared" si="42"/>
        <v>0</v>
      </c>
      <c r="AY238" s="976">
        <f>IFERROR(IF($AE$2=TRUE,IF(AR238+AS238=0,0,AR238+AS238),ROUND(IF(데이터입력!$AF$14=100%,ROUND(AR238*$AR$1,-3),ROUND(AR238*$AR$1,-3)-ROUND(((AR238*$AR$1)*$AT$4)*(데이터입력!$AF$14-100%)+((AR238*$AR$1)*$AU$4)*(데이터입력!$AF$14-100%)+((AR238*$AR$1)*$AU$4*$AV$4)*(데이터입력!$AF$14-100%)+((AR238*$AR$1)*$AW$4)*(데이터입력!$AF$14-100%),-1)),0)),0)</f>
        <v>0</v>
      </c>
      <c r="AZ238" s="977">
        <f>IFERROR(IF(AR238+AS238=0,0,IF(데이터입력!$AF$12=100%,(AT238),(AT238)+ROUND(AT238*(데이터입력!$AF$12-100%),-1))),0)</f>
        <v>0</v>
      </c>
      <c r="BA238" s="1097" t="str">
        <f>IFERROR(IF(AZ238=0,"",IF(AND(예산실적비교표!AP238&gt;0,예산실적비교표!AW238=0),"",ROUND(AZ238/12,0))),"")</f>
        <v/>
      </c>
      <c r="BB238" s="1096" t="str">
        <f>IF(BA238="","",IF(데이터입력!$O$70="",ROUND(AZ238/12,0),ROUND(데이터입력!$O$70/데이터입력!$Y$8/$BC$63,0)))</f>
        <v/>
      </c>
    </row>
    <row r="239" spans="42:54">
      <c r="AP239" s="1035" t="str">
        <f>IF(예산실적비교표!AL239&lt;&gt;"",예산실적비교표!AL239,"")</f>
        <v/>
      </c>
      <c r="AQ239" s="1036" t="str">
        <f>IF(예산실적비교표!AM239&lt;&gt;"",예산실적비교표!AM239,"")</f>
        <v/>
      </c>
      <c r="AR239" s="1037">
        <f>IF(AND(예산실적비교표!AN239&lt;&gt;"",예산실적비교표!AN239&gt;1),예산실적비교표!AN239,0)</f>
        <v>0</v>
      </c>
      <c r="AS239" s="1038">
        <f>IF(예산실적비교표!AO239&lt;&gt;"",예산실적비교표!AO239,0)</f>
        <v>0</v>
      </c>
      <c r="AT239" s="971">
        <f t="shared" si="40"/>
        <v>0</v>
      </c>
      <c r="AU239" s="1039">
        <f>IF(예산실적비교표!AQ239&lt;&gt;"",예산실적비교표!AQ239,0)</f>
        <v>0</v>
      </c>
      <c r="AV239" s="973">
        <f t="shared" si="41"/>
        <v>0</v>
      </c>
      <c r="AW239" s="974">
        <f>IF(AR239="",0,ROUND((AT239*$AT$7)*데이터입력!$AF$14+(AT239*$AU$7)*데이터입력!$AF$14+(AT239*$AU$7*$AV$7)*데이터입력!$AF$14+(AT239*$AW$7)*데이터입력!$AF$14+(AT239*$AX$7)*데이터입력!$AF$14,-1))</f>
        <v>0</v>
      </c>
      <c r="AX239" s="975">
        <f t="shared" si="42"/>
        <v>0</v>
      </c>
      <c r="AY239" s="976">
        <f>IFERROR(IF($AE$2=TRUE,IF(AR239+AS239=0,0,AR239+AS239),ROUND(IF(데이터입력!$AF$14=100%,ROUND(AR239*$AR$1,-3),ROUND(AR239*$AR$1,-3)-ROUND(((AR239*$AR$1)*$AT$4)*(데이터입력!$AF$14-100%)+((AR239*$AR$1)*$AU$4)*(데이터입력!$AF$14-100%)+((AR239*$AR$1)*$AU$4*$AV$4)*(데이터입력!$AF$14-100%)+((AR239*$AR$1)*$AW$4)*(데이터입력!$AF$14-100%),-1)),0)),0)</f>
        <v>0</v>
      </c>
      <c r="AZ239" s="977">
        <f>IFERROR(IF(AR239+AS239=0,0,IF(데이터입력!$AF$12=100%,(AT239),(AT239)+ROUND(AT239*(데이터입력!$AF$12-100%),-1))),0)</f>
        <v>0</v>
      </c>
      <c r="BA239" s="1097" t="str">
        <f>IFERROR(IF(AZ239=0,"",IF(AND(예산실적비교표!AP239&gt;0,예산실적비교표!AW239=0),"",ROUND(AZ239/12,0))),"")</f>
        <v/>
      </c>
      <c r="BB239" s="1096" t="str">
        <f>IF(BA239="","",IF(데이터입력!$O$70="",ROUND(AZ239/12,0),ROUND(데이터입력!$O$70/데이터입력!$Y$8/$BC$63,0)))</f>
        <v/>
      </c>
    </row>
    <row r="240" spans="42:54">
      <c r="AP240" s="1035" t="str">
        <f>IF(예산실적비교표!AL240&lt;&gt;"",예산실적비교표!AL240,"")</f>
        <v/>
      </c>
      <c r="AQ240" s="1036" t="str">
        <f>IF(예산실적비교표!AM240&lt;&gt;"",예산실적비교표!AM240,"")</f>
        <v/>
      </c>
      <c r="AR240" s="1037">
        <f>IF(AND(예산실적비교표!AN240&lt;&gt;"",예산실적비교표!AN240&gt;1),예산실적비교표!AN240,0)</f>
        <v>0</v>
      </c>
      <c r="AS240" s="1038">
        <f>IF(예산실적비교표!AO240&lt;&gt;"",예산실적비교표!AO240,0)</f>
        <v>0</v>
      </c>
      <c r="AT240" s="971">
        <f t="shared" si="40"/>
        <v>0</v>
      </c>
      <c r="AU240" s="1039">
        <f>IF(예산실적비교표!AQ240&lt;&gt;"",예산실적비교표!AQ240,0)</f>
        <v>0</v>
      </c>
      <c r="AV240" s="973">
        <f t="shared" si="41"/>
        <v>0</v>
      </c>
      <c r="AW240" s="974">
        <f>IF(AR240="",0,ROUND((AT240*$AT$7)*데이터입력!$AF$14+(AT240*$AU$7)*데이터입력!$AF$14+(AT240*$AU$7*$AV$7)*데이터입력!$AF$14+(AT240*$AW$7)*데이터입력!$AF$14+(AT240*$AX$7)*데이터입력!$AF$14,-1))</f>
        <v>0</v>
      </c>
      <c r="AX240" s="975">
        <f t="shared" si="42"/>
        <v>0</v>
      </c>
      <c r="AY240" s="976">
        <f>IFERROR(IF($AE$2=TRUE,IF(AR240+AS240=0,0,AR240+AS240),ROUND(IF(데이터입력!$AF$14=100%,ROUND(AR240*$AR$1,-3),ROUND(AR240*$AR$1,-3)-ROUND(((AR240*$AR$1)*$AT$4)*(데이터입력!$AF$14-100%)+((AR240*$AR$1)*$AU$4)*(데이터입력!$AF$14-100%)+((AR240*$AR$1)*$AU$4*$AV$4)*(데이터입력!$AF$14-100%)+((AR240*$AR$1)*$AW$4)*(데이터입력!$AF$14-100%),-1)),0)),0)</f>
        <v>0</v>
      </c>
      <c r="AZ240" s="977">
        <f>IFERROR(IF(AR240+AS240=0,0,IF(데이터입력!$AF$12=100%,(AT240),(AT240)+ROUND(AT240*(데이터입력!$AF$12-100%),-1))),0)</f>
        <v>0</v>
      </c>
      <c r="BA240" s="1097" t="str">
        <f>IFERROR(IF(AZ240=0,"",IF(AND(예산실적비교표!AP240&gt;0,예산실적비교표!AW240=0),"",ROUND(AZ240/12,0))),"")</f>
        <v/>
      </c>
      <c r="BB240" s="1096" t="str">
        <f>IF(BA240="","",IF(데이터입력!$O$70="",ROUND(AZ240/12,0),ROUND(데이터입력!$O$70/데이터입력!$Y$8/$BC$63,0)))</f>
        <v/>
      </c>
    </row>
    <row r="241" spans="42:54">
      <c r="AP241" s="1035" t="str">
        <f>IF(예산실적비교표!AL241&lt;&gt;"",예산실적비교표!AL241,"")</f>
        <v/>
      </c>
      <c r="AQ241" s="1036" t="str">
        <f>IF(예산실적비교표!AM241&lt;&gt;"",예산실적비교표!AM241,"")</f>
        <v/>
      </c>
      <c r="AR241" s="1037">
        <f>IF(AND(예산실적비교표!AN241&lt;&gt;"",예산실적비교표!AN241&gt;1),예산실적비교표!AN241,0)</f>
        <v>0</v>
      </c>
      <c r="AS241" s="1038">
        <f>IF(예산실적비교표!AO241&lt;&gt;"",예산실적비교표!AO241,0)</f>
        <v>0</v>
      </c>
      <c r="AT241" s="971">
        <f t="shared" si="40"/>
        <v>0</v>
      </c>
      <c r="AU241" s="1039">
        <f>IF(예산실적비교표!AQ241&lt;&gt;"",예산실적비교표!AQ241,0)</f>
        <v>0</v>
      </c>
      <c r="AV241" s="973">
        <f t="shared" si="41"/>
        <v>0</v>
      </c>
      <c r="AW241" s="974">
        <f>IF(AR241="",0,ROUND((AT241*$AT$7)*데이터입력!$AF$14+(AT241*$AU$7)*데이터입력!$AF$14+(AT241*$AU$7*$AV$7)*데이터입력!$AF$14+(AT241*$AW$7)*데이터입력!$AF$14+(AT241*$AX$7)*데이터입력!$AF$14,-1))</f>
        <v>0</v>
      </c>
      <c r="AX241" s="975">
        <f t="shared" si="42"/>
        <v>0</v>
      </c>
      <c r="AY241" s="976">
        <f>IFERROR(IF($AE$2=TRUE,IF(AR241+AS241=0,0,AR241+AS241),ROUND(IF(데이터입력!$AF$14=100%,ROUND(AR241*$AR$1,-3),ROUND(AR241*$AR$1,-3)-ROUND(((AR241*$AR$1)*$AT$4)*(데이터입력!$AF$14-100%)+((AR241*$AR$1)*$AU$4)*(데이터입력!$AF$14-100%)+((AR241*$AR$1)*$AU$4*$AV$4)*(데이터입력!$AF$14-100%)+((AR241*$AR$1)*$AW$4)*(데이터입력!$AF$14-100%),-1)),0)),0)</f>
        <v>0</v>
      </c>
      <c r="AZ241" s="977">
        <f>IFERROR(IF(AR241+AS241=0,0,IF(데이터입력!$AF$12=100%,(AT241),(AT241)+ROUND(AT241*(데이터입력!$AF$12-100%),-1))),0)</f>
        <v>0</v>
      </c>
      <c r="BA241" s="1097" t="str">
        <f>IFERROR(IF(AZ241=0,"",IF(AND(예산실적비교표!AP241&gt;0,예산실적비교표!AW241=0),"",ROUND(AZ241/12,0))),"")</f>
        <v/>
      </c>
      <c r="BB241" s="1096" t="str">
        <f>IF(BA241="","",IF(데이터입력!$O$70="",ROUND(AZ241/12,0),ROUND(데이터입력!$O$70/데이터입력!$Y$8/$BC$63,0)))</f>
        <v/>
      </c>
    </row>
    <row r="242" spans="42:54">
      <c r="AP242" s="1035" t="str">
        <f>IF(예산실적비교표!AL242&lt;&gt;"",예산실적비교표!AL242,"")</f>
        <v/>
      </c>
      <c r="AQ242" s="1036" t="str">
        <f>IF(예산실적비교표!AM242&lt;&gt;"",예산실적비교표!AM242,"")</f>
        <v/>
      </c>
      <c r="AR242" s="1037">
        <f>IF(AND(예산실적비교표!AN242&lt;&gt;"",예산실적비교표!AN242&gt;1),예산실적비교표!AN242,0)</f>
        <v>0</v>
      </c>
      <c r="AS242" s="1038">
        <f>IF(예산실적비교표!AO242&lt;&gt;"",예산실적비교표!AO242,0)</f>
        <v>0</v>
      </c>
      <c r="AT242" s="971">
        <f t="shared" si="40"/>
        <v>0</v>
      </c>
      <c r="AU242" s="1039">
        <f>IF(예산실적비교표!AQ242&lt;&gt;"",예산실적비교표!AQ242,0)</f>
        <v>0</v>
      </c>
      <c r="AV242" s="973">
        <f t="shared" si="41"/>
        <v>0</v>
      </c>
      <c r="AW242" s="974">
        <f>IF(AR242="",0,ROUND((AT242*$AT$7)*데이터입력!$AF$14+(AT242*$AU$7)*데이터입력!$AF$14+(AT242*$AU$7*$AV$7)*데이터입력!$AF$14+(AT242*$AW$7)*데이터입력!$AF$14+(AT242*$AX$7)*데이터입력!$AF$14,-1))</f>
        <v>0</v>
      </c>
      <c r="AX242" s="975">
        <f t="shared" si="42"/>
        <v>0</v>
      </c>
      <c r="AY242" s="976">
        <f>IFERROR(IF($AE$2=TRUE,IF(AR242+AS242=0,0,AR242+AS242),ROUND(IF(데이터입력!$AF$14=100%,ROUND(AR242*$AR$1,-3),ROUND(AR242*$AR$1,-3)-ROUND(((AR242*$AR$1)*$AT$4)*(데이터입력!$AF$14-100%)+((AR242*$AR$1)*$AU$4)*(데이터입력!$AF$14-100%)+((AR242*$AR$1)*$AU$4*$AV$4)*(데이터입력!$AF$14-100%)+((AR242*$AR$1)*$AW$4)*(데이터입력!$AF$14-100%),-1)),0)),0)</f>
        <v>0</v>
      </c>
      <c r="AZ242" s="977">
        <f>IFERROR(IF(AR242+AS242=0,0,IF(데이터입력!$AF$12=100%,(AT242),(AT242)+ROUND(AT242*(데이터입력!$AF$12-100%),-1))),0)</f>
        <v>0</v>
      </c>
      <c r="BA242" s="1097" t="str">
        <f>IFERROR(IF(AZ242=0,"",IF(AND(예산실적비교표!AP242&gt;0,예산실적비교표!AW242=0),"",ROUND(AZ242/12,0))),"")</f>
        <v/>
      </c>
      <c r="BB242" s="1096" t="str">
        <f>IF(BA242="","",IF(데이터입력!$O$70="",ROUND(AZ242/12,0),ROUND(데이터입력!$O$70/데이터입력!$Y$8/$BC$63,0)))</f>
        <v/>
      </c>
    </row>
    <row r="243" spans="42:54">
      <c r="AP243" s="1035" t="str">
        <f>IF(예산실적비교표!AL243&lt;&gt;"",예산실적비교표!AL243,"")</f>
        <v/>
      </c>
      <c r="AQ243" s="1036" t="str">
        <f>IF(예산실적비교표!AM243&lt;&gt;"",예산실적비교표!AM243,"")</f>
        <v/>
      </c>
      <c r="AR243" s="1037">
        <f>IF(AND(예산실적비교표!AN243&lt;&gt;"",예산실적비교표!AN243&gt;1),예산실적비교표!AN243,0)</f>
        <v>0</v>
      </c>
      <c r="AS243" s="1038">
        <f>IF(예산실적비교표!AO243&lt;&gt;"",예산실적비교표!AO243,0)</f>
        <v>0</v>
      </c>
      <c r="AT243" s="971">
        <f t="shared" si="40"/>
        <v>0</v>
      </c>
      <c r="AU243" s="1039">
        <f>IF(예산실적비교표!AQ243&lt;&gt;"",예산실적비교표!AQ243,0)</f>
        <v>0</v>
      </c>
      <c r="AV243" s="973">
        <f t="shared" si="41"/>
        <v>0</v>
      </c>
      <c r="AW243" s="974">
        <f>IF(AR243="",0,ROUND((AT243*$AT$7)*데이터입력!$AF$14+(AT243*$AU$7)*데이터입력!$AF$14+(AT243*$AU$7*$AV$7)*데이터입력!$AF$14+(AT243*$AW$7)*데이터입력!$AF$14+(AT243*$AX$7)*데이터입력!$AF$14,-1))</f>
        <v>0</v>
      </c>
      <c r="AX243" s="975">
        <f t="shared" si="42"/>
        <v>0</v>
      </c>
      <c r="AY243" s="976">
        <f>IFERROR(IF($AE$2=TRUE,IF(AR243+AS243=0,0,AR243+AS243),ROUND(IF(데이터입력!$AF$14=100%,ROUND(AR243*$AR$1,-3),ROUND(AR243*$AR$1,-3)-ROUND(((AR243*$AR$1)*$AT$4)*(데이터입력!$AF$14-100%)+((AR243*$AR$1)*$AU$4)*(데이터입력!$AF$14-100%)+((AR243*$AR$1)*$AU$4*$AV$4)*(데이터입력!$AF$14-100%)+((AR243*$AR$1)*$AW$4)*(데이터입력!$AF$14-100%),-1)),0)),0)</f>
        <v>0</v>
      </c>
      <c r="AZ243" s="977">
        <f>IFERROR(IF(AR243+AS243=0,0,IF(데이터입력!$AF$12=100%,(AT243),(AT243)+ROUND(AT243*(데이터입력!$AF$12-100%),-1))),0)</f>
        <v>0</v>
      </c>
      <c r="BA243" s="1097" t="str">
        <f>IFERROR(IF(AZ243=0,"",IF(AND(예산실적비교표!AP243&gt;0,예산실적비교표!AW243=0),"",ROUND(AZ243/12,0))),"")</f>
        <v/>
      </c>
      <c r="BB243" s="1096" t="str">
        <f>IF(BA243="","",IF(데이터입력!$O$70="",ROUND(AZ243/12,0),ROUND(데이터입력!$O$70/데이터입력!$Y$8/$BC$63,0)))</f>
        <v/>
      </c>
    </row>
    <row r="244" spans="42:54">
      <c r="AP244" s="1035" t="str">
        <f>IF(예산실적비교표!AL244&lt;&gt;"",예산실적비교표!AL244,"")</f>
        <v/>
      </c>
      <c r="AQ244" s="1036" t="str">
        <f>IF(예산실적비교표!AM244&lt;&gt;"",예산실적비교표!AM244,"")</f>
        <v/>
      </c>
      <c r="AR244" s="1037">
        <f>IF(AND(예산실적비교표!AN244&lt;&gt;"",예산실적비교표!AN244&gt;1),예산실적비교표!AN244,0)</f>
        <v>0</v>
      </c>
      <c r="AS244" s="1038">
        <f>IF(예산실적비교표!AO244&lt;&gt;"",예산실적비교표!AO244,0)</f>
        <v>0</v>
      </c>
      <c r="AT244" s="971">
        <f t="shared" si="40"/>
        <v>0</v>
      </c>
      <c r="AU244" s="1039">
        <f>IF(예산실적비교표!AQ244&lt;&gt;"",예산실적비교표!AQ244,0)</f>
        <v>0</v>
      </c>
      <c r="AV244" s="973">
        <f t="shared" si="41"/>
        <v>0</v>
      </c>
      <c r="AW244" s="974">
        <f>IF(AR244="",0,ROUND((AT244*$AT$7)*데이터입력!$AF$14+(AT244*$AU$7)*데이터입력!$AF$14+(AT244*$AU$7*$AV$7)*데이터입력!$AF$14+(AT244*$AW$7)*데이터입력!$AF$14+(AT244*$AX$7)*데이터입력!$AF$14,-1))</f>
        <v>0</v>
      </c>
      <c r="AX244" s="975">
        <f t="shared" si="42"/>
        <v>0</v>
      </c>
      <c r="AY244" s="976">
        <f>IFERROR(IF($AE$2=TRUE,IF(AR244+AS244=0,0,AR244+AS244),ROUND(IF(데이터입력!$AF$14=100%,ROUND(AR244*$AR$1,-3),ROUND(AR244*$AR$1,-3)-ROUND(((AR244*$AR$1)*$AT$4)*(데이터입력!$AF$14-100%)+((AR244*$AR$1)*$AU$4)*(데이터입력!$AF$14-100%)+((AR244*$AR$1)*$AU$4*$AV$4)*(데이터입력!$AF$14-100%)+((AR244*$AR$1)*$AW$4)*(데이터입력!$AF$14-100%),-1)),0)),0)</f>
        <v>0</v>
      </c>
      <c r="AZ244" s="977">
        <f>IFERROR(IF(AR244+AS244=0,0,IF(데이터입력!$AF$12=100%,(AT244),(AT244)+ROUND(AT244*(데이터입력!$AF$12-100%),-1))),0)</f>
        <v>0</v>
      </c>
      <c r="BA244" s="1097" t="str">
        <f>IFERROR(IF(AZ244=0,"",IF(AND(예산실적비교표!AP244&gt;0,예산실적비교표!AW244=0),"",ROUND(AZ244/12,0))),"")</f>
        <v/>
      </c>
      <c r="BB244" s="1096" t="str">
        <f>IF(BA244="","",IF(데이터입력!$O$70="",ROUND(AZ244/12,0),ROUND(데이터입력!$O$70/데이터입력!$Y$8/$BC$63,0)))</f>
        <v/>
      </c>
    </row>
    <row r="245" spans="42:54">
      <c r="AP245" s="1035" t="str">
        <f>IF(예산실적비교표!AL245&lt;&gt;"",예산실적비교표!AL245,"")</f>
        <v/>
      </c>
      <c r="AQ245" s="1036" t="str">
        <f>IF(예산실적비교표!AM245&lt;&gt;"",예산실적비교표!AM245,"")</f>
        <v/>
      </c>
      <c r="AR245" s="1037">
        <f>IF(AND(예산실적비교표!AN245&lt;&gt;"",예산실적비교표!AN245&gt;1),예산실적비교표!AN245,0)</f>
        <v>0</v>
      </c>
      <c r="AS245" s="1038">
        <f>IF(예산실적비교표!AO245&lt;&gt;"",예산실적비교표!AO245,0)</f>
        <v>0</v>
      </c>
      <c r="AT245" s="971">
        <f t="shared" si="40"/>
        <v>0</v>
      </c>
      <c r="AU245" s="1039">
        <f>IF(예산실적비교표!AQ245&lt;&gt;"",예산실적비교표!AQ245,0)</f>
        <v>0</v>
      </c>
      <c r="AV245" s="973">
        <f t="shared" si="41"/>
        <v>0</v>
      </c>
      <c r="AW245" s="974">
        <f>IF(AR245="",0,ROUND((AT245*$AT$7)*데이터입력!$AF$14+(AT245*$AU$7)*데이터입력!$AF$14+(AT245*$AU$7*$AV$7)*데이터입력!$AF$14+(AT245*$AW$7)*데이터입력!$AF$14+(AT245*$AX$7)*데이터입력!$AF$14,-1))</f>
        <v>0</v>
      </c>
      <c r="AX245" s="975">
        <f t="shared" si="42"/>
        <v>0</v>
      </c>
      <c r="AY245" s="976">
        <f>IFERROR(IF($AE$2=TRUE,IF(AR245+AS245=0,0,AR245+AS245),ROUND(IF(데이터입력!$AF$14=100%,ROUND(AR245*$AR$1,-3),ROUND(AR245*$AR$1,-3)-ROUND(((AR245*$AR$1)*$AT$4)*(데이터입력!$AF$14-100%)+((AR245*$AR$1)*$AU$4)*(데이터입력!$AF$14-100%)+((AR245*$AR$1)*$AU$4*$AV$4)*(데이터입력!$AF$14-100%)+((AR245*$AR$1)*$AW$4)*(데이터입력!$AF$14-100%),-1)),0)),0)</f>
        <v>0</v>
      </c>
      <c r="AZ245" s="977">
        <f>IFERROR(IF(AR245+AS245=0,0,IF(데이터입력!$AF$12=100%,(AT245),(AT245)+ROUND(AT245*(데이터입력!$AF$12-100%),-1))),0)</f>
        <v>0</v>
      </c>
      <c r="BA245" s="1097" t="str">
        <f>IFERROR(IF(AZ245=0,"",IF(AND(예산실적비교표!AP245&gt;0,예산실적비교표!AW245=0),"",ROUND(AZ245/12,0))),"")</f>
        <v/>
      </c>
      <c r="BB245" s="1096" t="str">
        <f>IF(BA245="","",IF(데이터입력!$O$70="",ROUND(AZ245/12,0),ROUND(데이터입력!$O$70/데이터입력!$Y$8/$BC$63,0)))</f>
        <v/>
      </c>
    </row>
    <row r="246" spans="42:54">
      <c r="AP246" s="1035" t="str">
        <f>IF(예산실적비교표!AL246&lt;&gt;"",예산실적비교표!AL246,"")</f>
        <v/>
      </c>
      <c r="AQ246" s="1036" t="str">
        <f>IF(예산실적비교표!AM246&lt;&gt;"",예산실적비교표!AM246,"")</f>
        <v/>
      </c>
      <c r="AR246" s="1037">
        <f>IF(AND(예산실적비교표!AN246&lt;&gt;"",예산실적비교표!AN246&gt;1),예산실적비교표!AN246,0)</f>
        <v>0</v>
      </c>
      <c r="AS246" s="1038">
        <f>IF(예산실적비교표!AO246&lt;&gt;"",예산실적비교표!AO246,0)</f>
        <v>0</v>
      </c>
      <c r="AT246" s="971">
        <f t="shared" si="40"/>
        <v>0</v>
      </c>
      <c r="AU246" s="1039">
        <f>IF(예산실적비교표!AQ246&lt;&gt;"",예산실적비교표!AQ246,0)</f>
        <v>0</v>
      </c>
      <c r="AV246" s="973">
        <f t="shared" si="41"/>
        <v>0</v>
      </c>
      <c r="AW246" s="974">
        <f>IF(AR246="",0,ROUND((AT246*$AT$7)*데이터입력!$AF$14+(AT246*$AU$7)*데이터입력!$AF$14+(AT246*$AU$7*$AV$7)*데이터입력!$AF$14+(AT246*$AW$7)*데이터입력!$AF$14+(AT246*$AX$7)*데이터입력!$AF$14,-1))</f>
        <v>0</v>
      </c>
      <c r="AX246" s="975">
        <f t="shared" si="42"/>
        <v>0</v>
      </c>
      <c r="AY246" s="976">
        <f>IFERROR(IF($AE$2=TRUE,IF(AR246+AS246=0,0,AR246+AS246),ROUND(IF(데이터입력!$AF$14=100%,ROUND(AR246*$AR$1,-3),ROUND(AR246*$AR$1,-3)-ROUND(((AR246*$AR$1)*$AT$4)*(데이터입력!$AF$14-100%)+((AR246*$AR$1)*$AU$4)*(데이터입력!$AF$14-100%)+((AR246*$AR$1)*$AU$4*$AV$4)*(데이터입력!$AF$14-100%)+((AR246*$AR$1)*$AW$4)*(데이터입력!$AF$14-100%),-1)),0)),0)</f>
        <v>0</v>
      </c>
      <c r="AZ246" s="977">
        <f>IFERROR(IF(AR246+AS246=0,0,IF(데이터입력!$AF$12=100%,(AT246),(AT246)+ROUND(AT246*(데이터입력!$AF$12-100%),-1))),0)</f>
        <v>0</v>
      </c>
      <c r="BA246" s="1097" t="str">
        <f>IFERROR(IF(AZ246=0,"",IF(AND(예산실적비교표!AP246&gt;0,예산실적비교표!AW246=0),"",ROUND(AZ246/12,0))),"")</f>
        <v/>
      </c>
      <c r="BB246" s="1096" t="str">
        <f>IF(BA246="","",IF(데이터입력!$O$70="",ROUND(AZ246/12,0),ROUND(데이터입력!$O$70/데이터입력!$Y$8/$BC$63,0)))</f>
        <v/>
      </c>
    </row>
    <row r="247" spans="42:54">
      <c r="AP247" s="1035" t="str">
        <f>IF(예산실적비교표!AL247&lt;&gt;"",예산실적비교표!AL247,"")</f>
        <v/>
      </c>
      <c r="AQ247" s="1036" t="str">
        <f>IF(예산실적비교표!AM247&lt;&gt;"",예산실적비교표!AM247,"")</f>
        <v/>
      </c>
      <c r="AR247" s="1037">
        <f>IF(AND(예산실적비교표!AN247&lt;&gt;"",예산실적비교표!AN247&gt;1),예산실적비교표!AN247,0)</f>
        <v>0</v>
      </c>
      <c r="AS247" s="1038">
        <f>IF(예산실적비교표!AO247&lt;&gt;"",예산실적비교표!AO247,0)</f>
        <v>0</v>
      </c>
      <c r="AT247" s="971">
        <f t="shared" si="40"/>
        <v>0</v>
      </c>
      <c r="AU247" s="1039">
        <f>IF(예산실적비교표!AQ247&lt;&gt;"",예산실적비교표!AQ247,0)</f>
        <v>0</v>
      </c>
      <c r="AV247" s="973">
        <f t="shared" si="41"/>
        <v>0</v>
      </c>
      <c r="AW247" s="974">
        <f>IF(AR247="",0,ROUND((AT247*$AT$7)*데이터입력!$AF$14+(AT247*$AU$7)*데이터입력!$AF$14+(AT247*$AU$7*$AV$7)*데이터입력!$AF$14+(AT247*$AW$7)*데이터입력!$AF$14+(AT247*$AX$7)*데이터입력!$AF$14,-1))</f>
        <v>0</v>
      </c>
      <c r="AX247" s="975">
        <f t="shared" si="42"/>
        <v>0</v>
      </c>
      <c r="AY247" s="976">
        <f>IFERROR(IF($AE$2=TRUE,IF(AR247+AS247=0,0,AR247+AS247),ROUND(IF(데이터입력!$AF$14=100%,ROUND(AR247*$AR$1,-3),ROUND(AR247*$AR$1,-3)-ROUND(((AR247*$AR$1)*$AT$4)*(데이터입력!$AF$14-100%)+((AR247*$AR$1)*$AU$4)*(데이터입력!$AF$14-100%)+((AR247*$AR$1)*$AU$4*$AV$4)*(데이터입력!$AF$14-100%)+((AR247*$AR$1)*$AW$4)*(데이터입력!$AF$14-100%),-1)),0)),0)</f>
        <v>0</v>
      </c>
      <c r="AZ247" s="977">
        <f>IFERROR(IF(AR247+AS247=0,0,IF(데이터입력!$AF$12=100%,(AT247),(AT247)+ROUND(AT247*(데이터입력!$AF$12-100%),-1))),0)</f>
        <v>0</v>
      </c>
      <c r="BA247" s="1097" t="str">
        <f>IFERROR(IF(AZ247=0,"",IF(AND(예산실적비교표!AP247&gt;0,예산실적비교표!AW247=0),"",ROUND(AZ247/12,0))),"")</f>
        <v/>
      </c>
      <c r="BB247" s="1096" t="str">
        <f>IF(BA247="","",IF(데이터입력!$O$70="",ROUND(AZ247/12,0),ROUND(데이터입력!$O$70/데이터입력!$Y$8/$BC$63,0)))</f>
        <v/>
      </c>
    </row>
    <row r="248" spans="42:54">
      <c r="AP248" s="1035" t="str">
        <f>IF(예산실적비교표!AL248&lt;&gt;"",예산실적비교표!AL248,"")</f>
        <v/>
      </c>
      <c r="AQ248" s="1036" t="str">
        <f>IF(예산실적비교표!AM248&lt;&gt;"",예산실적비교표!AM248,"")</f>
        <v/>
      </c>
      <c r="AR248" s="1037">
        <f>IF(AND(예산실적비교표!AN248&lt;&gt;"",예산실적비교표!AN248&gt;1),예산실적비교표!AN248,0)</f>
        <v>0</v>
      </c>
      <c r="AS248" s="1038">
        <f>IF(예산실적비교표!AO248&lt;&gt;"",예산실적비교표!AO248,0)</f>
        <v>0</v>
      </c>
      <c r="AT248" s="971">
        <f t="shared" si="40"/>
        <v>0</v>
      </c>
      <c r="AU248" s="1039">
        <f>IF(예산실적비교표!AQ248&lt;&gt;"",예산실적비교표!AQ248,0)</f>
        <v>0</v>
      </c>
      <c r="AV248" s="973">
        <f t="shared" si="41"/>
        <v>0</v>
      </c>
      <c r="AW248" s="974">
        <f>IF(AR248="",0,ROUND((AT248*$AT$7)*데이터입력!$AF$14+(AT248*$AU$7)*데이터입력!$AF$14+(AT248*$AU$7*$AV$7)*데이터입력!$AF$14+(AT248*$AW$7)*데이터입력!$AF$14+(AT248*$AX$7)*데이터입력!$AF$14,-1))</f>
        <v>0</v>
      </c>
      <c r="AX248" s="975">
        <f t="shared" si="42"/>
        <v>0</v>
      </c>
      <c r="AY248" s="976">
        <f>IFERROR(IF($AE$2=TRUE,IF(AR248+AS248=0,0,AR248+AS248),ROUND(IF(데이터입력!$AF$14=100%,ROUND(AR248*$AR$1,-3),ROUND(AR248*$AR$1,-3)-ROUND(((AR248*$AR$1)*$AT$4)*(데이터입력!$AF$14-100%)+((AR248*$AR$1)*$AU$4)*(데이터입력!$AF$14-100%)+((AR248*$AR$1)*$AU$4*$AV$4)*(데이터입력!$AF$14-100%)+((AR248*$AR$1)*$AW$4)*(데이터입력!$AF$14-100%),-1)),0)),0)</f>
        <v>0</v>
      </c>
      <c r="AZ248" s="977">
        <f>IFERROR(IF(AR248+AS248=0,0,IF(데이터입력!$AF$12=100%,(AT248),(AT248)+ROUND(AT248*(데이터입력!$AF$12-100%),-1))),0)</f>
        <v>0</v>
      </c>
      <c r="BA248" s="1097" t="str">
        <f>IFERROR(IF(AZ248=0,"",IF(AND(예산실적비교표!AP248&gt;0,예산실적비교표!AW248=0),"",ROUND(AZ248/12,0))),"")</f>
        <v/>
      </c>
      <c r="BB248" s="1096" t="str">
        <f>IF(BA248="","",IF(데이터입력!$O$70="",ROUND(AZ248/12,0),ROUND(데이터입력!$O$70/데이터입력!$Y$8/$BC$63,0)))</f>
        <v/>
      </c>
    </row>
    <row r="249" spans="42:54">
      <c r="AP249" s="1035" t="str">
        <f>IF(예산실적비교표!AL249&lt;&gt;"",예산실적비교표!AL249,"")</f>
        <v/>
      </c>
      <c r="AQ249" s="1036" t="str">
        <f>IF(예산실적비교표!AM249&lt;&gt;"",예산실적비교표!AM249,"")</f>
        <v/>
      </c>
      <c r="AR249" s="1037">
        <f>IF(AND(예산실적비교표!AN249&lt;&gt;"",예산실적비교표!AN249&gt;1),예산실적비교표!AN249,0)</f>
        <v>0</v>
      </c>
      <c r="AS249" s="1038">
        <f>IF(예산실적비교표!AO249&lt;&gt;"",예산실적비교표!AO249,0)</f>
        <v>0</v>
      </c>
      <c r="AT249" s="971">
        <f t="shared" si="40"/>
        <v>0</v>
      </c>
      <c r="AU249" s="1039">
        <f>IF(예산실적비교표!AQ249&lt;&gt;"",예산실적비교표!AQ249,0)</f>
        <v>0</v>
      </c>
      <c r="AV249" s="973">
        <f t="shared" si="41"/>
        <v>0</v>
      </c>
      <c r="AW249" s="974">
        <f>IF(AR249="",0,ROUND((AT249*$AT$7)*데이터입력!$AF$14+(AT249*$AU$7)*데이터입력!$AF$14+(AT249*$AU$7*$AV$7)*데이터입력!$AF$14+(AT249*$AW$7)*데이터입력!$AF$14+(AT249*$AX$7)*데이터입력!$AF$14,-1))</f>
        <v>0</v>
      </c>
      <c r="AX249" s="975">
        <f t="shared" si="42"/>
        <v>0</v>
      </c>
      <c r="AY249" s="976">
        <f>IFERROR(IF($AE$2=TRUE,IF(AR249+AS249=0,0,AR249+AS249),ROUND(IF(데이터입력!$AF$14=100%,ROUND(AR249*$AR$1,-3),ROUND(AR249*$AR$1,-3)-ROUND(((AR249*$AR$1)*$AT$4)*(데이터입력!$AF$14-100%)+((AR249*$AR$1)*$AU$4)*(데이터입력!$AF$14-100%)+((AR249*$AR$1)*$AU$4*$AV$4)*(데이터입력!$AF$14-100%)+((AR249*$AR$1)*$AW$4)*(데이터입력!$AF$14-100%),-1)),0)),0)</f>
        <v>0</v>
      </c>
      <c r="AZ249" s="977">
        <f>IFERROR(IF(AR249+AS249=0,0,IF(데이터입력!$AF$12=100%,(AT249),(AT249)+ROUND(AT249*(데이터입력!$AF$12-100%),-1))),0)</f>
        <v>0</v>
      </c>
      <c r="BA249" s="1097" t="str">
        <f>IFERROR(IF(AZ249=0,"",IF(AND(예산실적비교표!AP249&gt;0,예산실적비교표!AW249=0),"",ROUND(AZ249/12,0))),"")</f>
        <v/>
      </c>
      <c r="BB249" s="1096" t="str">
        <f>IF(BA249="","",IF(데이터입력!$O$70="",ROUND(AZ249/12,0),ROUND(데이터입력!$O$70/데이터입력!$Y$8/$BC$63,0)))</f>
        <v/>
      </c>
    </row>
    <row r="250" spans="42:54">
      <c r="AP250" s="1035" t="str">
        <f>IF(예산실적비교표!AL250&lt;&gt;"",예산실적비교표!AL250,"")</f>
        <v/>
      </c>
      <c r="AQ250" s="1036" t="str">
        <f>IF(예산실적비교표!AM250&lt;&gt;"",예산실적비교표!AM250,"")</f>
        <v/>
      </c>
      <c r="AR250" s="1037">
        <f>IF(AND(예산실적비교표!AN250&lt;&gt;"",예산실적비교표!AN250&gt;1),예산실적비교표!AN250,0)</f>
        <v>0</v>
      </c>
      <c r="AS250" s="1038">
        <f>IF(예산실적비교표!AO250&lt;&gt;"",예산실적비교표!AO250,0)</f>
        <v>0</v>
      </c>
      <c r="AT250" s="971">
        <f t="shared" si="40"/>
        <v>0</v>
      </c>
      <c r="AU250" s="1039">
        <f>IF(예산실적비교표!AQ250&lt;&gt;"",예산실적비교표!AQ250,0)</f>
        <v>0</v>
      </c>
      <c r="AV250" s="973">
        <f t="shared" si="41"/>
        <v>0</v>
      </c>
      <c r="AW250" s="974">
        <f>IF(AR250="",0,ROUND((AT250*$AT$7)*데이터입력!$AF$14+(AT250*$AU$7)*데이터입력!$AF$14+(AT250*$AU$7*$AV$7)*데이터입력!$AF$14+(AT250*$AW$7)*데이터입력!$AF$14+(AT250*$AX$7)*데이터입력!$AF$14,-1))</f>
        <v>0</v>
      </c>
      <c r="AX250" s="975">
        <f t="shared" si="42"/>
        <v>0</v>
      </c>
      <c r="AY250" s="976">
        <f>IFERROR(IF($AE$2=TRUE,IF(AR250+AS250=0,0,AR250+AS250),ROUND(IF(데이터입력!$AF$14=100%,ROUND(AR250*$AR$1,-3),ROUND(AR250*$AR$1,-3)-ROUND(((AR250*$AR$1)*$AT$4)*(데이터입력!$AF$14-100%)+((AR250*$AR$1)*$AU$4)*(데이터입력!$AF$14-100%)+((AR250*$AR$1)*$AU$4*$AV$4)*(데이터입력!$AF$14-100%)+((AR250*$AR$1)*$AW$4)*(데이터입력!$AF$14-100%),-1)),0)),0)</f>
        <v>0</v>
      </c>
      <c r="AZ250" s="977">
        <f>IFERROR(IF(AR250+AS250=0,0,IF(데이터입력!$AF$12=100%,(AT250),(AT250)+ROUND(AT250*(데이터입력!$AF$12-100%),-1))),0)</f>
        <v>0</v>
      </c>
      <c r="BA250" s="1097" t="str">
        <f>IFERROR(IF(AZ250=0,"",IF(AND(예산실적비교표!AP250&gt;0,예산실적비교표!AW250=0),"",ROUND(AZ250/12,0))),"")</f>
        <v/>
      </c>
      <c r="BB250" s="1096" t="str">
        <f>IF(BA250="","",IF(데이터입력!$O$70="",ROUND(AZ250/12,0),ROUND(데이터입력!$O$70/데이터입력!$Y$8/$BC$63,0)))</f>
        <v/>
      </c>
    </row>
    <row r="251" spans="42:54">
      <c r="AP251" s="1035" t="str">
        <f>IF(예산실적비교표!AL251&lt;&gt;"",예산실적비교표!AL251,"")</f>
        <v/>
      </c>
      <c r="AQ251" s="1036" t="str">
        <f>IF(예산실적비교표!AM251&lt;&gt;"",예산실적비교표!AM251,"")</f>
        <v/>
      </c>
      <c r="AR251" s="1037">
        <f>IF(AND(예산실적비교표!AN251&lt;&gt;"",예산실적비교표!AN251&gt;1),예산실적비교표!AN251,0)</f>
        <v>0</v>
      </c>
      <c r="AS251" s="1038">
        <f>IF(예산실적비교표!AO251&lt;&gt;"",예산실적비교표!AO251,0)</f>
        <v>0</v>
      </c>
      <c r="AT251" s="971">
        <f t="shared" si="40"/>
        <v>0</v>
      </c>
      <c r="AU251" s="1039">
        <f>IF(예산실적비교표!AQ251&lt;&gt;"",예산실적비교표!AQ251,0)</f>
        <v>0</v>
      </c>
      <c r="AV251" s="973">
        <f t="shared" si="41"/>
        <v>0</v>
      </c>
      <c r="AW251" s="974">
        <f>IF(AR251="",0,ROUND((AT251*$AT$7)*데이터입력!$AF$14+(AT251*$AU$7)*데이터입력!$AF$14+(AT251*$AU$7*$AV$7)*데이터입력!$AF$14+(AT251*$AW$7)*데이터입력!$AF$14+(AT251*$AX$7)*데이터입력!$AF$14,-1))</f>
        <v>0</v>
      </c>
      <c r="AX251" s="975">
        <f t="shared" si="42"/>
        <v>0</v>
      </c>
      <c r="AY251" s="976">
        <f>IFERROR(IF($AE$2=TRUE,IF(AR251+AS251=0,0,AR251+AS251),ROUND(IF(데이터입력!$AF$14=100%,ROUND(AR251*$AR$1,-3),ROUND(AR251*$AR$1,-3)-ROUND(((AR251*$AR$1)*$AT$4)*(데이터입력!$AF$14-100%)+((AR251*$AR$1)*$AU$4)*(데이터입력!$AF$14-100%)+((AR251*$AR$1)*$AU$4*$AV$4)*(데이터입력!$AF$14-100%)+((AR251*$AR$1)*$AW$4)*(데이터입력!$AF$14-100%),-1)),0)),0)</f>
        <v>0</v>
      </c>
      <c r="AZ251" s="977">
        <f>IFERROR(IF(AR251+AS251=0,0,IF(데이터입력!$AF$12=100%,(AT251),(AT251)+ROUND(AT251*(데이터입력!$AF$12-100%),-1))),0)</f>
        <v>0</v>
      </c>
      <c r="BA251" s="1097" t="str">
        <f>IFERROR(IF(AZ251=0,"",IF(AND(예산실적비교표!AP251&gt;0,예산실적비교표!AW251=0),"",ROUND(AZ251/12,0))),"")</f>
        <v/>
      </c>
      <c r="BB251" s="1096" t="str">
        <f>IF(BA251="","",IF(데이터입력!$O$70="",ROUND(AZ251/12,0),ROUND(데이터입력!$O$70/데이터입력!$Y$8/$BC$63,0)))</f>
        <v/>
      </c>
    </row>
    <row r="252" spans="42:54">
      <c r="AP252" s="1035" t="str">
        <f>IF(예산실적비교표!AL252&lt;&gt;"",예산실적비교표!AL252,"")</f>
        <v/>
      </c>
      <c r="AQ252" s="1036" t="str">
        <f>IF(예산실적비교표!AM252&lt;&gt;"",예산실적비교표!AM252,"")</f>
        <v/>
      </c>
      <c r="AR252" s="1037">
        <f>IF(AND(예산실적비교표!AN252&lt;&gt;"",예산실적비교표!AN252&gt;1),예산실적비교표!AN252,0)</f>
        <v>0</v>
      </c>
      <c r="AS252" s="1038">
        <f>IF(예산실적비교표!AO252&lt;&gt;"",예산실적비교표!AO252,0)</f>
        <v>0</v>
      </c>
      <c r="AT252" s="971">
        <f t="shared" si="40"/>
        <v>0</v>
      </c>
      <c r="AU252" s="1039">
        <f>IF(예산실적비교표!AQ252&lt;&gt;"",예산실적비교표!AQ252,0)</f>
        <v>0</v>
      </c>
      <c r="AV252" s="973">
        <f t="shared" si="41"/>
        <v>0</v>
      </c>
      <c r="AW252" s="974">
        <f>IF(AR252="",0,ROUND((AT252*$AT$7)*데이터입력!$AF$14+(AT252*$AU$7)*데이터입력!$AF$14+(AT252*$AU$7*$AV$7)*데이터입력!$AF$14+(AT252*$AW$7)*데이터입력!$AF$14+(AT252*$AX$7)*데이터입력!$AF$14,-1))</f>
        <v>0</v>
      </c>
      <c r="AX252" s="975">
        <f t="shared" si="42"/>
        <v>0</v>
      </c>
      <c r="AY252" s="976">
        <f>IFERROR(IF($AE$2=TRUE,IF(AR252+AS252=0,0,AR252+AS252),ROUND(IF(데이터입력!$AF$14=100%,ROUND(AR252*$AR$1,-3),ROUND(AR252*$AR$1,-3)-ROUND(((AR252*$AR$1)*$AT$4)*(데이터입력!$AF$14-100%)+((AR252*$AR$1)*$AU$4)*(데이터입력!$AF$14-100%)+((AR252*$AR$1)*$AU$4*$AV$4)*(데이터입력!$AF$14-100%)+((AR252*$AR$1)*$AW$4)*(데이터입력!$AF$14-100%),-1)),0)),0)</f>
        <v>0</v>
      </c>
      <c r="AZ252" s="977">
        <f>IFERROR(IF(AR252+AS252=0,0,IF(데이터입력!$AF$12=100%,(AT252),(AT252)+ROUND(AT252*(데이터입력!$AF$12-100%),-1))),0)</f>
        <v>0</v>
      </c>
      <c r="BA252" s="1097" t="str">
        <f>IFERROR(IF(AZ252=0,"",IF(AND(예산실적비교표!AP252&gt;0,예산실적비교표!AW252=0),"",ROUND(AZ252/12,0))),"")</f>
        <v/>
      </c>
      <c r="BB252" s="1096" t="str">
        <f>IF(BA252="","",IF(데이터입력!$O$70="",ROUND(AZ252/12,0),ROUND(데이터입력!$O$70/데이터입력!$Y$8/$BC$63,0)))</f>
        <v/>
      </c>
    </row>
    <row r="253" spans="42:54">
      <c r="AP253" s="1035" t="str">
        <f>IF(예산실적비교표!AL253&lt;&gt;"",예산실적비교표!AL253,"")</f>
        <v/>
      </c>
      <c r="AQ253" s="1036" t="str">
        <f>IF(예산실적비교표!AM253&lt;&gt;"",예산실적비교표!AM253,"")</f>
        <v/>
      </c>
      <c r="AR253" s="1037">
        <f>IF(AND(예산실적비교표!AN253&lt;&gt;"",예산실적비교표!AN253&gt;1),예산실적비교표!AN253,0)</f>
        <v>0</v>
      </c>
      <c r="AS253" s="1038">
        <f>IF(예산실적비교표!AO253&lt;&gt;"",예산실적비교표!AO253,0)</f>
        <v>0</v>
      </c>
      <c r="AT253" s="971">
        <f t="shared" si="40"/>
        <v>0</v>
      </c>
      <c r="AU253" s="1039">
        <f>IF(예산실적비교표!AQ253&lt;&gt;"",예산실적비교표!AQ253,0)</f>
        <v>0</v>
      </c>
      <c r="AV253" s="973">
        <f t="shared" si="41"/>
        <v>0</v>
      </c>
      <c r="AW253" s="974">
        <f>IF(AR253="",0,ROUND((AT253*$AT$7)*데이터입력!$AF$14+(AT253*$AU$7)*데이터입력!$AF$14+(AT253*$AU$7*$AV$7)*데이터입력!$AF$14+(AT253*$AW$7)*데이터입력!$AF$14+(AT253*$AX$7)*데이터입력!$AF$14,-1))</f>
        <v>0</v>
      </c>
      <c r="AX253" s="975">
        <f t="shared" si="42"/>
        <v>0</v>
      </c>
      <c r="AY253" s="976">
        <f>IFERROR(IF($AE$2=TRUE,IF(AR253+AS253=0,0,AR253+AS253),ROUND(IF(데이터입력!$AF$14=100%,ROUND(AR253*$AR$1,-3),ROUND(AR253*$AR$1,-3)-ROUND(((AR253*$AR$1)*$AT$4)*(데이터입력!$AF$14-100%)+((AR253*$AR$1)*$AU$4)*(데이터입력!$AF$14-100%)+((AR253*$AR$1)*$AU$4*$AV$4)*(데이터입력!$AF$14-100%)+((AR253*$AR$1)*$AW$4)*(데이터입력!$AF$14-100%),-1)),0)),0)</f>
        <v>0</v>
      </c>
      <c r="AZ253" s="977">
        <f>IFERROR(IF(AR253+AS253=0,0,IF(데이터입력!$AF$12=100%,(AT253),(AT253)+ROUND(AT253*(데이터입력!$AF$12-100%),-1))),0)</f>
        <v>0</v>
      </c>
      <c r="BA253" s="1097" t="str">
        <f>IFERROR(IF(AZ253=0,"",IF(AND(예산실적비교표!AP253&gt;0,예산실적비교표!AW253=0),"",ROUND(AZ253/12,0))),"")</f>
        <v/>
      </c>
      <c r="BB253" s="1096" t="str">
        <f>IF(BA253="","",IF(데이터입력!$O$70="",ROUND(AZ253/12,0),ROUND(데이터입력!$O$70/데이터입력!$Y$8/$BC$63,0)))</f>
        <v/>
      </c>
    </row>
    <row r="254" spans="42:54">
      <c r="AP254" s="1035" t="str">
        <f>IF(예산실적비교표!AL254&lt;&gt;"",예산실적비교표!AL254,"")</f>
        <v/>
      </c>
      <c r="AQ254" s="1036" t="str">
        <f>IF(예산실적비교표!AM254&lt;&gt;"",예산실적비교표!AM254,"")</f>
        <v/>
      </c>
      <c r="AR254" s="1037">
        <f>IF(AND(예산실적비교표!AN254&lt;&gt;"",예산실적비교표!AN254&gt;1),예산실적비교표!AN254,0)</f>
        <v>0</v>
      </c>
      <c r="AS254" s="1038">
        <f>IF(예산실적비교표!AO254&lt;&gt;"",예산실적비교표!AO254,0)</f>
        <v>0</v>
      </c>
      <c r="AT254" s="971">
        <f t="shared" si="40"/>
        <v>0</v>
      </c>
      <c r="AU254" s="1039">
        <f>IF(예산실적비교표!AQ254&lt;&gt;"",예산실적비교표!AQ254,0)</f>
        <v>0</v>
      </c>
      <c r="AV254" s="973">
        <f t="shared" si="41"/>
        <v>0</v>
      </c>
      <c r="AW254" s="974">
        <f>IF(AR254="",0,ROUND((AT254*$AT$7)*데이터입력!$AF$14+(AT254*$AU$7)*데이터입력!$AF$14+(AT254*$AU$7*$AV$7)*데이터입력!$AF$14+(AT254*$AW$7)*데이터입력!$AF$14+(AT254*$AX$7)*데이터입력!$AF$14,-1))</f>
        <v>0</v>
      </c>
      <c r="AX254" s="975">
        <f t="shared" si="42"/>
        <v>0</v>
      </c>
      <c r="AY254" s="976">
        <f>IFERROR(IF($AE$2=TRUE,IF(AR254+AS254=0,0,AR254+AS254),ROUND(IF(데이터입력!$AF$14=100%,ROUND(AR254*$AR$1,-3),ROUND(AR254*$AR$1,-3)-ROUND(((AR254*$AR$1)*$AT$4)*(데이터입력!$AF$14-100%)+((AR254*$AR$1)*$AU$4)*(데이터입력!$AF$14-100%)+((AR254*$AR$1)*$AU$4*$AV$4)*(데이터입력!$AF$14-100%)+((AR254*$AR$1)*$AW$4)*(데이터입력!$AF$14-100%),-1)),0)),0)</f>
        <v>0</v>
      </c>
      <c r="AZ254" s="977">
        <f>IFERROR(IF(AR254+AS254=0,0,IF(데이터입력!$AF$12=100%,(AT254),(AT254)+ROUND(AT254*(데이터입력!$AF$12-100%),-1))),0)</f>
        <v>0</v>
      </c>
      <c r="BA254" s="1097" t="str">
        <f>IFERROR(IF(AZ254=0,"",IF(AND(예산실적비교표!AP254&gt;0,예산실적비교표!AW254=0),"",ROUND(AZ254/12,0))),"")</f>
        <v/>
      </c>
      <c r="BB254" s="1096" t="str">
        <f>IF(BA254="","",IF(데이터입력!$O$70="",ROUND(AZ254/12,0),ROUND(데이터입력!$O$70/데이터입력!$Y$8/$BC$63,0)))</f>
        <v/>
      </c>
    </row>
    <row r="255" spans="42:54">
      <c r="AP255" s="1035" t="str">
        <f>IF(예산실적비교표!AL255&lt;&gt;"",예산실적비교표!AL255,"")</f>
        <v/>
      </c>
      <c r="AQ255" s="1036" t="str">
        <f>IF(예산실적비교표!AM255&lt;&gt;"",예산실적비교표!AM255,"")</f>
        <v/>
      </c>
      <c r="AR255" s="1037">
        <f>IF(AND(예산실적비교표!AN255&lt;&gt;"",예산실적비교표!AN255&gt;1),예산실적비교표!AN255,0)</f>
        <v>0</v>
      </c>
      <c r="AS255" s="1038">
        <f>IF(예산실적비교표!AO255&lt;&gt;"",예산실적비교표!AO255,0)</f>
        <v>0</v>
      </c>
      <c r="AT255" s="971">
        <f t="shared" si="40"/>
        <v>0</v>
      </c>
      <c r="AU255" s="1039">
        <f>IF(예산실적비교표!AQ255&lt;&gt;"",예산실적비교표!AQ255,0)</f>
        <v>0</v>
      </c>
      <c r="AV255" s="973">
        <f t="shared" si="41"/>
        <v>0</v>
      </c>
      <c r="AW255" s="974">
        <f>IF(AR255="",0,ROUND((AT255*$AT$7)*데이터입력!$AF$14+(AT255*$AU$7)*데이터입력!$AF$14+(AT255*$AU$7*$AV$7)*데이터입력!$AF$14+(AT255*$AW$7)*데이터입력!$AF$14+(AT255*$AX$7)*데이터입력!$AF$14,-1))</f>
        <v>0</v>
      </c>
      <c r="AX255" s="975">
        <f t="shared" si="42"/>
        <v>0</v>
      </c>
      <c r="AY255" s="976">
        <f>IFERROR(IF($AE$2=TRUE,IF(AR255+AS255=0,0,AR255+AS255),ROUND(IF(데이터입력!$AF$14=100%,ROUND(AR255*$AR$1,-3),ROUND(AR255*$AR$1,-3)-ROUND(((AR255*$AR$1)*$AT$4)*(데이터입력!$AF$14-100%)+((AR255*$AR$1)*$AU$4)*(데이터입력!$AF$14-100%)+((AR255*$AR$1)*$AU$4*$AV$4)*(데이터입력!$AF$14-100%)+((AR255*$AR$1)*$AW$4)*(데이터입력!$AF$14-100%),-1)),0)),0)</f>
        <v>0</v>
      </c>
      <c r="AZ255" s="977">
        <f>IFERROR(IF(AR255+AS255=0,0,IF(데이터입력!$AF$12=100%,(AT255),(AT255)+ROUND(AT255*(데이터입력!$AF$12-100%),-1))),0)</f>
        <v>0</v>
      </c>
      <c r="BA255" s="1097" t="str">
        <f>IFERROR(IF(AZ255=0,"",IF(AND(예산실적비교표!AP255&gt;0,예산실적비교표!AW255=0),"",ROUND(AZ255/12,0))),"")</f>
        <v/>
      </c>
      <c r="BB255" s="1096" t="str">
        <f>IF(BA255="","",IF(데이터입력!$O$70="",ROUND(AZ255/12,0),ROUND(데이터입력!$O$70/데이터입력!$Y$8/$BC$63,0)))</f>
        <v/>
      </c>
    </row>
    <row r="256" spans="42:54">
      <c r="AP256" s="1035" t="str">
        <f>IF(예산실적비교표!AL256&lt;&gt;"",예산실적비교표!AL256,"")</f>
        <v/>
      </c>
      <c r="AQ256" s="1036" t="str">
        <f>IF(예산실적비교표!AM256&lt;&gt;"",예산실적비교표!AM256,"")</f>
        <v/>
      </c>
      <c r="AR256" s="1037">
        <f>IF(AND(예산실적비교표!AN256&lt;&gt;"",예산실적비교표!AN256&gt;1),예산실적비교표!AN256,0)</f>
        <v>0</v>
      </c>
      <c r="AS256" s="1038">
        <f>IF(예산실적비교표!AO256&lt;&gt;"",예산실적비교표!AO256,0)</f>
        <v>0</v>
      </c>
      <c r="AT256" s="971">
        <f t="shared" ref="AT256:AT262" si="43">IFERROR(IF(AND(AP256&lt;&gt;"",(AR256+AS256)=0),1,ROUND((AR256+AS256)*$AR$1,-3)),0)</f>
        <v>0</v>
      </c>
      <c r="AU256" s="1039">
        <f>IF(예산실적비교표!AQ256&lt;&gt;"",예산실적비교표!AQ256,0)</f>
        <v>0</v>
      </c>
      <c r="AV256" s="973">
        <f t="shared" ref="AV256:AV262" si="44">IF(BB256="",0,BB256)</f>
        <v>0</v>
      </c>
      <c r="AW256" s="974">
        <f>IF(AR256="",0,ROUND((AT256*$AT$7)*데이터입력!$AF$14+(AT256*$AU$7)*데이터입력!$AF$14+(AT256*$AU$7*$AV$7)*데이터입력!$AF$14+(AT256*$AW$7)*데이터입력!$AF$14+(AT256*$AX$7)*데이터입력!$AF$14,-1))</f>
        <v>0</v>
      </c>
      <c r="AX256" s="975">
        <f t="shared" ref="AX256:AX262" si="45">IF(SUM(AT256:AW256)=0,0,SUM(AT256:AW256))</f>
        <v>0</v>
      </c>
      <c r="AY256" s="976">
        <f>IFERROR(IF($AE$2=TRUE,IF(AR256+AS256=0,0,AR256+AS256),ROUND(IF(데이터입력!$AF$14=100%,ROUND(AR256*$AR$1,-3),ROUND(AR256*$AR$1,-3)-ROUND(((AR256*$AR$1)*$AT$4)*(데이터입력!$AF$14-100%)+((AR256*$AR$1)*$AU$4)*(데이터입력!$AF$14-100%)+((AR256*$AR$1)*$AU$4*$AV$4)*(데이터입력!$AF$14-100%)+((AR256*$AR$1)*$AW$4)*(데이터입력!$AF$14-100%),-1)),0)),0)</f>
        <v>0</v>
      </c>
      <c r="AZ256" s="977">
        <f>IFERROR(IF(AR256+AS256=0,0,IF(데이터입력!$AF$12=100%,(AT256),(AT256)+ROUND(AT256*(데이터입력!$AF$12-100%),-1))),0)</f>
        <v>0</v>
      </c>
      <c r="BA256" s="1097" t="str">
        <f>IFERROR(IF(AZ256=0,"",IF(AND(예산실적비교표!AP256&gt;0,예산실적비교표!AW256=0),"",ROUND(AZ256/12,0))),"")</f>
        <v/>
      </c>
      <c r="BB256" s="1096" t="str">
        <f>IF(BA256="","",IF(데이터입력!$O$70="",ROUND(AZ256/12,0),ROUND(데이터입력!$O$70/데이터입력!$Y$8/$BC$63,0)))</f>
        <v/>
      </c>
    </row>
    <row r="257" spans="42:54">
      <c r="AP257" s="1035" t="str">
        <f>IF(예산실적비교표!AL257&lt;&gt;"",예산실적비교표!AL257,"")</f>
        <v/>
      </c>
      <c r="AQ257" s="1036" t="str">
        <f>IF(예산실적비교표!AM257&lt;&gt;"",예산실적비교표!AM257,"")</f>
        <v/>
      </c>
      <c r="AR257" s="1037">
        <f>IF(AND(예산실적비교표!AN257&lt;&gt;"",예산실적비교표!AN257&gt;1),예산실적비교표!AN257,0)</f>
        <v>0</v>
      </c>
      <c r="AS257" s="1038">
        <f>IF(예산실적비교표!AO257&lt;&gt;"",예산실적비교표!AO257,0)</f>
        <v>0</v>
      </c>
      <c r="AT257" s="971">
        <f t="shared" si="43"/>
        <v>0</v>
      </c>
      <c r="AU257" s="1039">
        <f>IF(예산실적비교표!AQ257&lt;&gt;"",예산실적비교표!AQ257,0)</f>
        <v>0</v>
      </c>
      <c r="AV257" s="973">
        <f t="shared" si="44"/>
        <v>0</v>
      </c>
      <c r="AW257" s="974">
        <f>IF(AR257="",0,ROUND((AT257*$AT$7)*데이터입력!$AF$14+(AT257*$AU$7)*데이터입력!$AF$14+(AT257*$AU$7*$AV$7)*데이터입력!$AF$14+(AT257*$AW$7)*데이터입력!$AF$14+(AT257*$AX$7)*데이터입력!$AF$14,-1))</f>
        <v>0</v>
      </c>
      <c r="AX257" s="975">
        <f t="shared" si="45"/>
        <v>0</v>
      </c>
      <c r="AY257" s="976">
        <f>IFERROR(IF($AE$2=TRUE,IF(AR257+AS257=0,0,AR257+AS257),ROUND(IF(데이터입력!$AF$14=100%,ROUND(AR257*$AR$1,-3),ROUND(AR257*$AR$1,-3)-ROUND(((AR257*$AR$1)*$AT$4)*(데이터입력!$AF$14-100%)+((AR257*$AR$1)*$AU$4)*(데이터입력!$AF$14-100%)+((AR257*$AR$1)*$AU$4*$AV$4)*(데이터입력!$AF$14-100%)+((AR257*$AR$1)*$AW$4)*(데이터입력!$AF$14-100%),-1)),0)),0)</f>
        <v>0</v>
      </c>
      <c r="AZ257" s="977">
        <f>IFERROR(IF(AR257+AS257=0,0,IF(데이터입력!$AF$12=100%,(AT257),(AT257)+ROUND(AT257*(데이터입력!$AF$12-100%),-1))),0)</f>
        <v>0</v>
      </c>
      <c r="BA257" s="1097" t="str">
        <f>IFERROR(IF(AZ257=0,"",IF(AND(예산실적비교표!AP257&gt;0,예산실적비교표!AW257=0),"",ROUND(AZ257/12,0))),"")</f>
        <v/>
      </c>
      <c r="BB257" s="1096" t="str">
        <f>IF(BA257="","",IF(데이터입력!$O$70="",ROUND(AZ257/12,0),ROUND(데이터입력!$O$70/데이터입력!$Y$8/$BC$63,0)))</f>
        <v/>
      </c>
    </row>
    <row r="258" spans="42:54">
      <c r="AP258" s="1035" t="str">
        <f>IF(예산실적비교표!AL258&lt;&gt;"",예산실적비교표!AL258,"")</f>
        <v/>
      </c>
      <c r="AQ258" s="1036" t="str">
        <f>IF(예산실적비교표!AM258&lt;&gt;"",예산실적비교표!AM258,"")</f>
        <v/>
      </c>
      <c r="AR258" s="1037">
        <f>IF(AND(예산실적비교표!AN258&lt;&gt;"",예산실적비교표!AN258&gt;1),예산실적비교표!AN258,0)</f>
        <v>0</v>
      </c>
      <c r="AS258" s="1038">
        <f>IF(예산실적비교표!AO258&lt;&gt;"",예산실적비교표!AO258,0)</f>
        <v>0</v>
      </c>
      <c r="AT258" s="971">
        <f t="shared" si="43"/>
        <v>0</v>
      </c>
      <c r="AU258" s="1039">
        <f>IF(예산실적비교표!AQ258&lt;&gt;"",예산실적비교표!AQ258,0)</f>
        <v>0</v>
      </c>
      <c r="AV258" s="973">
        <f t="shared" si="44"/>
        <v>0</v>
      </c>
      <c r="AW258" s="974">
        <f>IF(AR258="",0,ROUND((AT258*$AT$7)*데이터입력!$AF$14+(AT258*$AU$7)*데이터입력!$AF$14+(AT258*$AU$7*$AV$7)*데이터입력!$AF$14+(AT258*$AW$7)*데이터입력!$AF$14+(AT258*$AX$7)*데이터입력!$AF$14,-1))</f>
        <v>0</v>
      </c>
      <c r="AX258" s="975">
        <f t="shared" si="45"/>
        <v>0</v>
      </c>
      <c r="AY258" s="976">
        <f>IFERROR(IF($AE$2=TRUE,IF(AR258+AS258=0,0,AR258+AS258),ROUND(IF(데이터입력!$AF$14=100%,ROUND(AR258*$AR$1,-3),ROUND(AR258*$AR$1,-3)-ROUND(((AR258*$AR$1)*$AT$4)*(데이터입력!$AF$14-100%)+((AR258*$AR$1)*$AU$4)*(데이터입력!$AF$14-100%)+((AR258*$AR$1)*$AU$4*$AV$4)*(데이터입력!$AF$14-100%)+((AR258*$AR$1)*$AW$4)*(데이터입력!$AF$14-100%),-1)),0)),0)</f>
        <v>0</v>
      </c>
      <c r="AZ258" s="977">
        <f>IFERROR(IF(AR258+AS258=0,0,IF(데이터입력!$AF$12=100%,(AT258),(AT258)+ROUND(AT258*(데이터입력!$AF$12-100%),-1))),0)</f>
        <v>0</v>
      </c>
      <c r="BA258" s="1097" t="str">
        <f>IFERROR(IF(AZ258=0,"",IF(AND(예산실적비교표!AP258&gt;0,예산실적비교표!AW258=0),"",ROUND(AZ258/12,0))),"")</f>
        <v/>
      </c>
      <c r="BB258" s="1096" t="str">
        <f>IF(BA258="","",IF(데이터입력!$O$70="",ROUND(AZ258/12,0),ROUND(데이터입력!$O$70/데이터입력!$Y$8/$BC$63,0)))</f>
        <v/>
      </c>
    </row>
    <row r="259" spans="42:54">
      <c r="AP259" s="1035" t="str">
        <f>IF(예산실적비교표!AL259&lt;&gt;"",예산실적비교표!AL259,"")</f>
        <v/>
      </c>
      <c r="AQ259" s="1036" t="str">
        <f>IF(예산실적비교표!AM259&lt;&gt;"",예산실적비교표!AM259,"")</f>
        <v/>
      </c>
      <c r="AR259" s="1037">
        <f>IF(AND(예산실적비교표!AN259&lt;&gt;"",예산실적비교표!AN259&gt;1),예산실적비교표!AN259,0)</f>
        <v>0</v>
      </c>
      <c r="AS259" s="1038">
        <f>IF(예산실적비교표!AO259&lt;&gt;"",예산실적비교표!AO259,0)</f>
        <v>0</v>
      </c>
      <c r="AT259" s="971">
        <f t="shared" si="43"/>
        <v>0</v>
      </c>
      <c r="AU259" s="1039">
        <f>IF(예산실적비교표!AQ259&lt;&gt;"",예산실적비교표!AQ259,0)</f>
        <v>0</v>
      </c>
      <c r="AV259" s="973">
        <f t="shared" si="44"/>
        <v>0</v>
      </c>
      <c r="AW259" s="974">
        <f>IF(AR259="",0,ROUND((AT259*$AT$7)*데이터입력!$AF$14+(AT259*$AU$7)*데이터입력!$AF$14+(AT259*$AU$7*$AV$7)*데이터입력!$AF$14+(AT259*$AW$7)*데이터입력!$AF$14+(AT259*$AX$7)*데이터입력!$AF$14,-1))</f>
        <v>0</v>
      </c>
      <c r="AX259" s="975">
        <f t="shared" si="45"/>
        <v>0</v>
      </c>
      <c r="AY259" s="976">
        <f>IFERROR(IF($AE$2=TRUE,IF(AR259+AS259=0,0,AR259+AS259),ROUND(IF(데이터입력!$AF$14=100%,ROUND(AR259*$AR$1,-3),ROUND(AR259*$AR$1,-3)-ROUND(((AR259*$AR$1)*$AT$4)*(데이터입력!$AF$14-100%)+((AR259*$AR$1)*$AU$4)*(데이터입력!$AF$14-100%)+((AR259*$AR$1)*$AU$4*$AV$4)*(데이터입력!$AF$14-100%)+((AR259*$AR$1)*$AW$4)*(데이터입력!$AF$14-100%),-1)),0)),0)</f>
        <v>0</v>
      </c>
      <c r="AZ259" s="977">
        <f>IFERROR(IF(AR259+AS259=0,0,IF(데이터입력!$AF$12=100%,(AT259),(AT259)+ROUND(AT259*(데이터입력!$AF$12-100%),-1))),0)</f>
        <v>0</v>
      </c>
      <c r="BA259" s="1097" t="str">
        <f>IFERROR(IF(AZ259=0,"",IF(AND(예산실적비교표!AP259&gt;0,예산실적비교표!AW259=0),"",ROUND(AZ259/12,0))),"")</f>
        <v/>
      </c>
      <c r="BB259" s="1096" t="str">
        <f>IF(BA259="","",IF(데이터입력!$O$70="",ROUND(AZ259/12,0),ROUND(데이터입력!$O$70/데이터입력!$Y$8/$BC$63,0)))</f>
        <v/>
      </c>
    </row>
    <row r="260" spans="42:54">
      <c r="AP260" s="1035" t="str">
        <f>IF(예산실적비교표!AL260&lt;&gt;"",예산실적비교표!AL260,"")</f>
        <v/>
      </c>
      <c r="AQ260" s="1036" t="str">
        <f>IF(예산실적비교표!AM260&lt;&gt;"",예산실적비교표!AM260,"")</f>
        <v/>
      </c>
      <c r="AR260" s="1037">
        <f>IF(AND(예산실적비교표!AN260&lt;&gt;"",예산실적비교표!AN260&gt;1),예산실적비교표!AN260,0)</f>
        <v>0</v>
      </c>
      <c r="AS260" s="1038">
        <f>IF(예산실적비교표!AO260&lt;&gt;"",예산실적비교표!AO260,0)</f>
        <v>0</v>
      </c>
      <c r="AT260" s="971">
        <f t="shared" si="43"/>
        <v>0</v>
      </c>
      <c r="AU260" s="1039">
        <f>IF(예산실적비교표!AQ260&lt;&gt;"",예산실적비교표!AQ260,0)</f>
        <v>0</v>
      </c>
      <c r="AV260" s="973">
        <f t="shared" si="44"/>
        <v>0</v>
      </c>
      <c r="AW260" s="974">
        <f>IF(AR260="",0,ROUND((AT260*$AT$7)*데이터입력!$AF$14+(AT260*$AU$7)*데이터입력!$AF$14+(AT260*$AU$7*$AV$7)*데이터입력!$AF$14+(AT260*$AW$7)*데이터입력!$AF$14+(AT260*$AX$7)*데이터입력!$AF$14,-1))</f>
        <v>0</v>
      </c>
      <c r="AX260" s="975">
        <f t="shared" si="45"/>
        <v>0</v>
      </c>
      <c r="AY260" s="976">
        <f>IFERROR(IF($AE$2=TRUE,IF(AR260+AS260=0,0,AR260+AS260),ROUND(IF(데이터입력!$AF$14=100%,ROUND(AR260*$AR$1,-3),ROUND(AR260*$AR$1,-3)-ROUND(((AR260*$AR$1)*$AT$4)*(데이터입력!$AF$14-100%)+((AR260*$AR$1)*$AU$4)*(데이터입력!$AF$14-100%)+((AR260*$AR$1)*$AU$4*$AV$4)*(데이터입력!$AF$14-100%)+((AR260*$AR$1)*$AW$4)*(데이터입력!$AF$14-100%),-1)),0)),0)</f>
        <v>0</v>
      </c>
      <c r="AZ260" s="977">
        <f>IFERROR(IF(AR260+AS260=0,0,IF(데이터입력!$AF$12=100%,(AT260),(AT260)+ROUND(AT260*(데이터입력!$AF$12-100%),-1))),0)</f>
        <v>0</v>
      </c>
      <c r="BA260" s="1097" t="str">
        <f>IFERROR(IF(AZ260=0,"",IF(AND(예산실적비교표!AP260&gt;0,예산실적비교표!AW260=0),"",ROUND(AZ260/12,0))),"")</f>
        <v/>
      </c>
      <c r="BB260" s="1096" t="str">
        <f>IF(BA260="","",IF(데이터입력!$O$70="",ROUND(AZ260/12,0),ROUND(데이터입력!$O$70/데이터입력!$Y$8/$BC$63,0)))</f>
        <v/>
      </c>
    </row>
    <row r="261" spans="42:54">
      <c r="AP261" s="1035" t="str">
        <f>IF(예산실적비교표!AL261&lt;&gt;"",예산실적비교표!AL261,"")</f>
        <v/>
      </c>
      <c r="AQ261" s="1036" t="str">
        <f>IF(예산실적비교표!AM261&lt;&gt;"",예산실적비교표!AM261,"")</f>
        <v/>
      </c>
      <c r="AR261" s="1037">
        <f>IF(AND(예산실적비교표!AN261&lt;&gt;"",예산실적비교표!AN261&gt;1),예산실적비교표!AN261,0)</f>
        <v>0</v>
      </c>
      <c r="AS261" s="1038">
        <f>IF(예산실적비교표!AO261&lt;&gt;"",예산실적비교표!AO261,0)</f>
        <v>0</v>
      </c>
      <c r="AT261" s="971">
        <f t="shared" si="43"/>
        <v>0</v>
      </c>
      <c r="AU261" s="1039">
        <f>IF(예산실적비교표!AQ261&lt;&gt;"",예산실적비교표!AQ261,0)</f>
        <v>0</v>
      </c>
      <c r="AV261" s="973">
        <f t="shared" si="44"/>
        <v>0</v>
      </c>
      <c r="AW261" s="974">
        <f>IF(AR261="",0,ROUND((AT261*$AT$7)*데이터입력!$AF$14+(AT261*$AU$7)*데이터입력!$AF$14+(AT261*$AU$7*$AV$7)*데이터입력!$AF$14+(AT261*$AW$7)*데이터입력!$AF$14+(AT261*$AX$7)*데이터입력!$AF$14,-1))</f>
        <v>0</v>
      </c>
      <c r="AX261" s="975">
        <f t="shared" si="45"/>
        <v>0</v>
      </c>
      <c r="AY261" s="976">
        <f>IFERROR(IF($AE$2=TRUE,IF(AR261+AS261=0,0,AR261+AS261),ROUND(IF(데이터입력!$AF$14=100%,ROUND(AR261*$AR$1,-3),ROUND(AR261*$AR$1,-3)-ROUND(((AR261*$AR$1)*$AT$4)*(데이터입력!$AF$14-100%)+((AR261*$AR$1)*$AU$4)*(데이터입력!$AF$14-100%)+((AR261*$AR$1)*$AU$4*$AV$4)*(데이터입력!$AF$14-100%)+((AR261*$AR$1)*$AW$4)*(데이터입력!$AF$14-100%),-1)),0)),0)</f>
        <v>0</v>
      </c>
      <c r="AZ261" s="977">
        <f>IFERROR(IF(AR261+AS261=0,0,IF(데이터입력!$AF$12=100%,(AT261),(AT261)+ROUND(AT261*(데이터입력!$AF$12-100%),-1))),0)</f>
        <v>0</v>
      </c>
      <c r="BA261" s="1097" t="str">
        <f>IFERROR(IF(AZ261=0,"",IF(AND(예산실적비교표!AP261&gt;0,예산실적비교표!AW261=0),"",ROUND(AZ261/12,0))),"")</f>
        <v/>
      </c>
      <c r="BB261" s="1096" t="str">
        <f>IF(BA261="","",IF(데이터입력!$O$70="",ROUND(AZ261/12,0),ROUND(데이터입력!$O$70/데이터입력!$Y$8/$BC$63,0)))</f>
        <v/>
      </c>
    </row>
    <row r="262" spans="42:54" ht="17.25" thickBot="1">
      <c r="AP262" s="1035" t="str">
        <f>IF(예산실적비교표!AL262&lt;&gt;"",예산실적비교표!AL262,"")</f>
        <v/>
      </c>
      <c r="AQ262" s="1036" t="str">
        <f>IF(예산실적비교표!AM262&lt;&gt;"",예산실적비교표!AM262,"")</f>
        <v/>
      </c>
      <c r="AR262" s="1037">
        <f>IF(AND(예산실적비교표!AN262&lt;&gt;"",예산실적비교표!AN262&gt;1),예산실적비교표!AN262,0)</f>
        <v>0</v>
      </c>
      <c r="AS262" s="1038">
        <f>IF(예산실적비교표!AO262&lt;&gt;"",예산실적비교표!AO262,0)</f>
        <v>0</v>
      </c>
      <c r="AT262" s="971">
        <f t="shared" si="43"/>
        <v>0</v>
      </c>
      <c r="AU262" s="1039">
        <f>IF(예산실적비교표!AQ262&lt;&gt;"",예산실적비교표!AQ262,0)</f>
        <v>0</v>
      </c>
      <c r="AV262" s="973">
        <f t="shared" si="44"/>
        <v>0</v>
      </c>
      <c r="AW262" s="974">
        <f>IF(AR262="",0,ROUND((AT262*$AT$7)*데이터입력!$AF$14+(AT262*$AU$7)*데이터입력!$AF$14+(AT262*$AU$7*$AV$7)*데이터입력!$AF$14+(AT262*$AW$7)*데이터입력!$AF$14+(AT262*$AX$7)*데이터입력!$AF$14,-1))</f>
        <v>0</v>
      </c>
      <c r="AX262" s="975">
        <f t="shared" si="45"/>
        <v>0</v>
      </c>
      <c r="AY262" s="976">
        <f>IFERROR(IF($AE$2=TRUE,IF(AR262+AS262=0,0,AR262+AS262),ROUND(IF(데이터입력!$AF$14=100%,ROUND(AR262*$AR$1,-3),ROUND(AR262*$AR$1,-3)-ROUND(((AR262*$AR$1)*$AT$4)*(데이터입력!$AF$14-100%)+((AR262*$AR$1)*$AU$4)*(데이터입력!$AF$14-100%)+((AR262*$AR$1)*$AU$4*$AV$4)*(데이터입력!$AF$14-100%)+((AR262*$AR$1)*$AW$4)*(데이터입력!$AF$14-100%),-1)),0)),0)</f>
        <v>0</v>
      </c>
      <c r="AZ262" s="977">
        <f>IFERROR(IF(AR262+AS262=0,0,IF(데이터입력!$AF$12=100%,(AT262),(AT262)+ROUND(AT262*(데이터입력!$AF$12-100%),-1))),0)</f>
        <v>0</v>
      </c>
      <c r="BA262" s="1097" t="str">
        <f>IFERROR(IF(AZ262=0,"",IF(AND(예산실적비교표!AP262&gt;0,예산실적비교표!AW262=0),"",ROUND(AZ262/12,0))),"")</f>
        <v/>
      </c>
      <c r="BB262" s="1096" t="str">
        <f>IF(BA262="","",IF(데이터입력!$O$70="",ROUND(AZ262/12,0),ROUND(데이터입력!$O$70/데이터입력!$Y$8/$BC$63,0)))</f>
        <v/>
      </c>
    </row>
    <row r="263" spans="42:54" ht="17.25" thickBot="1">
      <c r="AP263" s="1524" t="s">
        <v>466</v>
      </c>
      <c r="AQ263" s="1525"/>
      <c r="AR263" s="1048">
        <f t="shared" ref="AR263:AZ263" si="46">SUM(AR63:AR262)</f>
        <v>66138491</v>
      </c>
      <c r="AS263" s="1048">
        <f t="shared" si="46"/>
        <v>0</v>
      </c>
      <c r="AT263" s="1049">
        <f t="shared" si="46"/>
        <v>68122000</v>
      </c>
      <c r="AU263" s="1050">
        <f t="shared" si="46"/>
        <v>0</v>
      </c>
      <c r="AV263" s="1051">
        <f t="shared" si="46"/>
        <v>5676832</v>
      </c>
      <c r="AW263" s="1051">
        <f t="shared" si="46"/>
        <v>9544290</v>
      </c>
      <c r="AX263" s="1049">
        <f t="shared" si="46"/>
        <v>83343122</v>
      </c>
      <c r="AY263" s="1052">
        <f t="shared" si="46"/>
        <v>66136060</v>
      </c>
      <c r="AZ263" s="1052">
        <f t="shared" si="46"/>
        <v>68122000</v>
      </c>
    </row>
    <row r="264" spans="42:54" ht="17.25" thickBot="1">
      <c r="AP264" s="1526" t="s">
        <v>467</v>
      </c>
      <c r="AQ264" s="1527"/>
      <c r="AR264" s="1053">
        <f t="shared" ref="AR264:AZ264" si="47">AR61+AR263</f>
        <v>73758491</v>
      </c>
      <c r="AS264" s="1053">
        <f t="shared" si="47"/>
        <v>0</v>
      </c>
      <c r="AT264" s="1054">
        <f t="shared" si="47"/>
        <v>75971000</v>
      </c>
      <c r="AU264" s="1055">
        <f t="shared" si="47"/>
        <v>0</v>
      </c>
      <c r="AV264" s="1055">
        <f t="shared" si="47"/>
        <v>5676832</v>
      </c>
      <c r="AW264" s="1055">
        <f t="shared" si="47"/>
        <v>10390210</v>
      </c>
      <c r="AX264" s="1054">
        <f t="shared" si="47"/>
        <v>92038042</v>
      </c>
      <c r="AY264" s="1052">
        <f t="shared" si="47"/>
        <v>73985060</v>
      </c>
      <c r="AZ264" s="1052">
        <f t="shared" si="47"/>
        <v>75971000</v>
      </c>
    </row>
  </sheetData>
  <mergeCells count="308">
    <mergeCell ref="O69:V69"/>
    <mergeCell ref="BN55:BN58"/>
    <mergeCell ref="BP55:BP57"/>
    <mergeCell ref="BQ55:BQ57"/>
    <mergeCell ref="BR55:BR57"/>
    <mergeCell ref="BH59:BI59"/>
    <mergeCell ref="BH60:BI62"/>
    <mergeCell ref="BJ60:BJ62"/>
    <mergeCell ref="BK60:BK62"/>
    <mergeCell ref="BL60:BL62"/>
    <mergeCell ref="BM60:BM62"/>
    <mergeCell ref="BO60:BO62"/>
    <mergeCell ref="BP60:BP62"/>
    <mergeCell ref="BQ60:BQ62"/>
    <mergeCell ref="BR60:BR62"/>
    <mergeCell ref="BH55:BH58"/>
    <mergeCell ref="BM55:BM56"/>
    <mergeCell ref="BO55:BO57"/>
    <mergeCell ref="BN61:BN62"/>
    <mergeCell ref="BI55:BI57"/>
    <mergeCell ref="BJ55:BJ57"/>
    <mergeCell ref="BK55:BK57"/>
    <mergeCell ref="BL55:BL57"/>
    <mergeCell ref="BR47:BR49"/>
    <mergeCell ref="BH50:BI50"/>
    <mergeCell ref="BI51:BI53"/>
    <mergeCell ref="BJ51:BJ53"/>
    <mergeCell ref="BN51:BN54"/>
    <mergeCell ref="BQ51:BQ53"/>
    <mergeCell ref="BR51:BR53"/>
    <mergeCell ref="BL54:BM54"/>
    <mergeCell ref="BH51:BH54"/>
    <mergeCell ref="BO51:BO52"/>
    <mergeCell ref="BK47:BK48"/>
    <mergeCell ref="BO47:BO49"/>
    <mergeCell ref="BP51:BP52"/>
    <mergeCell ref="BO53:BO54"/>
    <mergeCell ref="BK51:BK52"/>
    <mergeCell ref="BH47:BI49"/>
    <mergeCell ref="BJ47:BJ49"/>
    <mergeCell ref="BL47:BL49"/>
    <mergeCell ref="BM47:BM49"/>
    <mergeCell ref="BN47:BN49"/>
    <mergeCell ref="BP47:BP49"/>
    <mergeCell ref="BQ47:BQ49"/>
    <mergeCell ref="BL51:BL52"/>
    <mergeCell ref="BM51:BM52"/>
    <mergeCell ref="BH45:BI46"/>
    <mergeCell ref="BJ45:BJ46"/>
    <mergeCell ref="BK45:BK46"/>
    <mergeCell ref="BN45:BN46"/>
    <mergeCell ref="BO45:BO46"/>
    <mergeCell ref="BP45:BP46"/>
    <mergeCell ref="BQ45:BQ46"/>
    <mergeCell ref="BR45:BR46"/>
    <mergeCell ref="BH43:BR44"/>
    <mergeCell ref="BD73:BF73"/>
    <mergeCell ref="AI46:AJ46"/>
    <mergeCell ref="AI50:AJ50"/>
    <mergeCell ref="AI47:AJ47"/>
    <mergeCell ref="AI48:AJ48"/>
    <mergeCell ref="AI77:AJ77"/>
    <mergeCell ref="AI78:AJ78"/>
    <mergeCell ref="AI79:AJ79"/>
    <mergeCell ref="AI80:AJ80"/>
    <mergeCell ref="AH76:AJ76"/>
    <mergeCell ref="AI75:AJ75"/>
    <mergeCell ref="AI69:AJ69"/>
    <mergeCell ref="AI72:AJ72"/>
    <mergeCell ref="AI70:AJ70"/>
    <mergeCell ref="AI71:AJ71"/>
    <mergeCell ref="AI73:AJ73"/>
    <mergeCell ref="AI74:AJ74"/>
    <mergeCell ref="BC43:BG44"/>
    <mergeCell ref="BD46:BG46"/>
    <mergeCell ref="BE49:BG49"/>
    <mergeCell ref="BD51:BG51"/>
    <mergeCell ref="BE54:BG54"/>
    <mergeCell ref="BD47:BD48"/>
    <mergeCell ref="AI64:AJ64"/>
    <mergeCell ref="AI65:AJ65"/>
    <mergeCell ref="AI66:AJ66"/>
    <mergeCell ref="AI57:AJ57"/>
    <mergeCell ref="AI52:AJ52"/>
    <mergeCell ref="AI63:AJ63"/>
    <mergeCell ref="X72:AC73"/>
    <mergeCell ref="AP263:AQ263"/>
    <mergeCell ref="AP264:AQ264"/>
    <mergeCell ref="AP1:AQ1"/>
    <mergeCell ref="AQ2:AS2"/>
    <mergeCell ref="AT2:AX2"/>
    <mergeCell ref="AQ3:AS3"/>
    <mergeCell ref="AQ4:AS4"/>
    <mergeCell ref="AP5:AQ5"/>
    <mergeCell ref="AR5:AS5"/>
    <mergeCell ref="AT5:AX5"/>
    <mergeCell ref="AP6:AQ6"/>
    <mergeCell ref="AR6:AS6"/>
    <mergeCell ref="AP7:AQ7"/>
    <mergeCell ref="AR7:AS7"/>
    <mergeCell ref="AP8:AX9"/>
    <mergeCell ref="AP61:AQ61"/>
    <mergeCell ref="AI67:AJ67"/>
    <mergeCell ref="AE87:AF87"/>
    <mergeCell ref="AI81:AJ81"/>
    <mergeCell ref="AI82:AJ82"/>
    <mergeCell ref="AH84:AJ84"/>
    <mergeCell ref="AI83:AJ83"/>
    <mergeCell ref="AD72:AF72"/>
    <mergeCell ref="AI42:AJ42"/>
    <mergeCell ref="AI53:AJ53"/>
    <mergeCell ref="AE89:AF89"/>
    <mergeCell ref="AD79:AF79"/>
    <mergeCell ref="AI30:AJ30"/>
    <mergeCell ref="AI31:AJ31"/>
    <mergeCell ref="AI32:AJ32"/>
    <mergeCell ref="AI33:AJ33"/>
    <mergeCell ref="AH34:AJ34"/>
    <mergeCell ref="AI49:AJ49"/>
    <mergeCell ref="AI43:AJ43"/>
    <mergeCell ref="AI35:AJ35"/>
    <mergeCell ref="AI36:AJ36"/>
    <mergeCell ref="AI37:AJ37"/>
    <mergeCell ref="AI51:AJ51"/>
    <mergeCell ref="AI55:AJ55"/>
    <mergeCell ref="AI56:AJ56"/>
    <mergeCell ref="AI58:AJ58"/>
    <mergeCell ref="AI59:AJ59"/>
    <mergeCell ref="AI60:AJ60"/>
    <mergeCell ref="AI68:AJ68"/>
    <mergeCell ref="AI54:AJ54"/>
    <mergeCell ref="AI61:AJ61"/>
    <mergeCell ref="AI62:AJ62"/>
    <mergeCell ref="AM11:AN11"/>
    <mergeCell ref="AM12:AN12"/>
    <mergeCell ref="AI28:AJ28"/>
    <mergeCell ref="AI29:AJ29"/>
    <mergeCell ref="AI26:AJ26"/>
    <mergeCell ref="AI12:AJ12"/>
    <mergeCell ref="AH25:AJ25"/>
    <mergeCell ref="AI13:AJ13"/>
    <mergeCell ref="AI14:AJ14"/>
    <mergeCell ref="AM13:AN13"/>
    <mergeCell ref="AM14:AN14"/>
    <mergeCell ref="AM15:AN15"/>
    <mergeCell ref="AI15:AJ15"/>
    <mergeCell ref="AH16:AJ16"/>
    <mergeCell ref="AI10:AJ10"/>
    <mergeCell ref="AI11:AJ11"/>
    <mergeCell ref="AI8:AJ8"/>
    <mergeCell ref="X3:AF3"/>
    <mergeCell ref="AI27:AJ27"/>
    <mergeCell ref="AI44:AJ44"/>
    <mergeCell ref="AI45:AJ45"/>
    <mergeCell ref="X33:AF33"/>
    <mergeCell ref="AE16:AF16"/>
    <mergeCell ref="AB20:AC20"/>
    <mergeCell ref="AI38:AJ38"/>
    <mergeCell ref="AI39:AJ39"/>
    <mergeCell ref="AI40:AJ40"/>
    <mergeCell ref="AI41:AJ41"/>
    <mergeCell ref="Z23:AF23"/>
    <mergeCell ref="Y22:Z22"/>
    <mergeCell ref="AB22:AC22"/>
    <mergeCell ref="AE22:AF22"/>
    <mergeCell ref="Z42:AA42"/>
    <mergeCell ref="Y14:Z14"/>
    <mergeCell ref="Y13:Z13"/>
    <mergeCell ref="AE17:AF17"/>
    <mergeCell ref="AE18:AF18"/>
    <mergeCell ref="AA19:AC19"/>
    <mergeCell ref="Y17:Z17"/>
    <mergeCell ref="X15:Z15"/>
    <mergeCell ref="AA15:AC15"/>
    <mergeCell ref="AD15:AF15"/>
    <mergeCell ref="Y12:Z12"/>
    <mergeCell ref="AA11:AD11"/>
    <mergeCell ref="X11:Z11"/>
    <mergeCell ref="AB21:AC21"/>
    <mergeCell ref="AE20:AF20"/>
    <mergeCell ref="AE21:AF21"/>
    <mergeCell ref="Y20:Z20"/>
    <mergeCell ref="AD19:AF19"/>
    <mergeCell ref="AB17:AC17"/>
    <mergeCell ref="AB18:AC18"/>
    <mergeCell ref="Y18:Z18"/>
    <mergeCell ref="Y16:Z16"/>
    <mergeCell ref="AB16:AC16"/>
    <mergeCell ref="AM9:AN9"/>
    <mergeCell ref="AM10:AN10"/>
    <mergeCell ref="AB1:AC1"/>
    <mergeCell ref="Y7:Z7"/>
    <mergeCell ref="Y1:Z1"/>
    <mergeCell ref="Y2:Z2"/>
    <mergeCell ref="AD6:AE6"/>
    <mergeCell ref="AB2:AC2"/>
    <mergeCell ref="AA9:AB9"/>
    <mergeCell ref="AC9:AE9"/>
    <mergeCell ref="AL6:AN6"/>
    <mergeCell ref="AM7:AN7"/>
    <mergeCell ref="AI2:AJ2"/>
    <mergeCell ref="AA7:AC7"/>
    <mergeCell ref="Y6:Z6"/>
    <mergeCell ref="AA6:AB6"/>
    <mergeCell ref="AA10:AB10"/>
    <mergeCell ref="AC10:AE10"/>
    <mergeCell ref="AM8:AN8"/>
    <mergeCell ref="AD7:AE7"/>
    <mergeCell ref="AI1:AJ1"/>
    <mergeCell ref="AH6:AJ6"/>
    <mergeCell ref="AI7:AJ7"/>
    <mergeCell ref="AI9:AJ9"/>
    <mergeCell ref="A138:F138"/>
    <mergeCell ref="A139:F139"/>
    <mergeCell ref="J1:J2"/>
    <mergeCell ref="K1:K2"/>
    <mergeCell ref="L1:L2"/>
    <mergeCell ref="A1:A2"/>
    <mergeCell ref="B1:D1"/>
    <mergeCell ref="G1:G2"/>
    <mergeCell ref="E1:F2"/>
    <mergeCell ref="H1:H2"/>
    <mergeCell ref="I1:I2"/>
    <mergeCell ref="A41:F41"/>
    <mergeCell ref="V1:V2"/>
    <mergeCell ref="X19:Z19"/>
    <mergeCell ref="O3:V3"/>
    <mergeCell ref="Q1:Q2"/>
    <mergeCell ref="AC95:AD95"/>
    <mergeCell ref="AE95:AF95"/>
    <mergeCell ref="R1:R2"/>
    <mergeCell ref="S1:S2"/>
    <mergeCell ref="T1:T2"/>
    <mergeCell ref="U1:U2"/>
    <mergeCell ref="O1:O2"/>
    <mergeCell ref="P1:P2"/>
    <mergeCell ref="AE1:AF1"/>
    <mergeCell ref="Y21:Z21"/>
    <mergeCell ref="Y92:Z92"/>
    <mergeCell ref="AC92:AD92"/>
    <mergeCell ref="AC89:AD89"/>
    <mergeCell ref="AC91:AD91"/>
    <mergeCell ref="Y89:Z89"/>
    <mergeCell ref="AA89:AB89"/>
    <mergeCell ref="Y88:Z88"/>
    <mergeCell ref="AC87:AD87"/>
    <mergeCell ref="AE88:AF88"/>
    <mergeCell ref="AE90:AF90"/>
    <mergeCell ref="Y101:Z101"/>
    <mergeCell ref="Y102:Z102"/>
    <mergeCell ref="Y100:Z100"/>
    <mergeCell ref="AA100:AB100"/>
    <mergeCell ref="AC100:AD100"/>
    <mergeCell ref="Y99:Z99"/>
    <mergeCell ref="Y95:Z95"/>
    <mergeCell ref="Y96:Z96"/>
    <mergeCell ref="Y97:Z97"/>
    <mergeCell ref="AA95:AB95"/>
    <mergeCell ref="AE100:AF100"/>
    <mergeCell ref="AA101:AB101"/>
    <mergeCell ref="AA102:AB102"/>
    <mergeCell ref="AC101:AD101"/>
    <mergeCell ref="AC102:AD102"/>
    <mergeCell ref="AE101:AF101"/>
    <mergeCell ref="AE102:AF102"/>
    <mergeCell ref="AA94:AB94"/>
    <mergeCell ref="AC94:AD94"/>
    <mergeCell ref="AE94:AF94"/>
    <mergeCell ref="Y94:Z94"/>
    <mergeCell ref="AA99:AB99"/>
    <mergeCell ref="AC99:AD99"/>
    <mergeCell ref="AE99:AF99"/>
    <mergeCell ref="AA88:AB88"/>
    <mergeCell ref="AC88:AD88"/>
    <mergeCell ref="AA91:AB91"/>
    <mergeCell ref="AA96:AB96"/>
    <mergeCell ref="AC96:AD96"/>
    <mergeCell ref="AE96:AF96"/>
    <mergeCell ref="AA97:AB97"/>
    <mergeCell ref="AC97:AD97"/>
    <mergeCell ref="AE97:AF97"/>
    <mergeCell ref="Y91:Z91"/>
    <mergeCell ref="AA92:AB92"/>
    <mergeCell ref="AE91:AF91"/>
    <mergeCell ref="AI92:AJ92"/>
    <mergeCell ref="AI93:AJ93"/>
    <mergeCell ref="AI94:AJ94"/>
    <mergeCell ref="AA79:AC79"/>
    <mergeCell ref="AB81:AC81"/>
    <mergeCell ref="AB82:AC82"/>
    <mergeCell ref="AB84:AC84"/>
    <mergeCell ref="Y93:Z93"/>
    <mergeCell ref="AA93:AB93"/>
    <mergeCell ref="Y90:Z90"/>
    <mergeCell ref="AA90:AB90"/>
    <mergeCell ref="AI85:AJ85"/>
    <mergeCell ref="AI86:AJ86"/>
    <mergeCell ref="AI87:AJ87"/>
    <mergeCell ref="AI88:AJ88"/>
    <mergeCell ref="AI89:AJ89"/>
    <mergeCell ref="AC93:AD93"/>
    <mergeCell ref="AE93:AF93"/>
    <mergeCell ref="AE92:AF92"/>
    <mergeCell ref="AC90:AD90"/>
    <mergeCell ref="Y87:Z87"/>
    <mergeCell ref="AI90:AJ90"/>
    <mergeCell ref="AB85:AC85"/>
    <mergeCell ref="AA87:AB87"/>
  </mergeCells>
  <phoneticPr fontId="1" type="noConversion"/>
  <conditionalFormatting sqref="F79:F80">
    <cfRule type="uniqueValues" dxfId="142" priority="198"/>
  </conditionalFormatting>
  <conditionalFormatting sqref="L3:L102 L138">
    <cfRule type="expression" dxfId="141" priority="196">
      <formula>L3&gt;SUM(H3:J3)</formula>
    </cfRule>
  </conditionalFormatting>
  <conditionalFormatting sqref="L103 L110">
    <cfRule type="expression" dxfId="140" priority="194">
      <formula>L103&gt;SUM(H103:J103)</formula>
    </cfRule>
  </conditionalFormatting>
  <conditionalFormatting sqref="L104:L109">
    <cfRule type="expression" dxfId="139" priority="21">
      <formula>L104&gt;SUM(H104:J104)</formula>
    </cfRule>
  </conditionalFormatting>
  <conditionalFormatting sqref="L111:L137">
    <cfRule type="expression" dxfId="138" priority="20">
      <formula>L111&gt;SUM(H111:J111)</formula>
    </cfRule>
  </conditionalFormatting>
  <conditionalFormatting sqref="S101:S102">
    <cfRule type="uniqueValues" dxfId="137" priority="456"/>
  </conditionalFormatting>
  <conditionalFormatting sqref="U4:U28 U30:U33">
    <cfRule type="cellIs" dxfId="136" priority="228" operator="greaterThan">
      <formula>0</formula>
    </cfRule>
  </conditionalFormatting>
  <conditionalFormatting sqref="Y12">
    <cfRule type="expression" dxfId="135" priority="455">
      <formula>$Y$12&lt;VLOOKUP($AB$2,AH$17:AJ$23,2,FALSE)</formula>
    </cfRule>
    <cfRule type="expression" dxfId="134" priority="454">
      <formula>$Y$12&gt;=VLOOKUP($AB$2,AH$17:AJ$23,2,FALSE)</formula>
    </cfRule>
  </conditionalFormatting>
  <conditionalFormatting sqref="Y18">
    <cfRule type="cellIs" dxfId="133" priority="285" operator="notEqual">
      <formula>0</formula>
    </cfRule>
    <cfRule type="cellIs" dxfId="132" priority="284" operator="equal">
      <formula>0</formula>
    </cfRule>
  </conditionalFormatting>
  <conditionalFormatting sqref="Y34:Y35">
    <cfRule type="cellIs" dxfId="131" priority="53" operator="lessThan">
      <formula>0</formula>
    </cfRule>
  </conditionalFormatting>
  <conditionalFormatting sqref="Y42:Y43">
    <cfRule type="cellIs" dxfId="130" priority="128" operator="lessThan">
      <formula>0</formula>
    </cfRule>
  </conditionalFormatting>
  <conditionalFormatting sqref="Y50:Y51">
    <cfRule type="cellIs" dxfId="129" priority="125" operator="lessThan">
      <formula>0</formula>
    </cfRule>
  </conditionalFormatting>
  <conditionalFormatting sqref="Y61:Y62">
    <cfRule type="cellIs" dxfId="128" priority="79" operator="lessThan">
      <formula>0</formula>
    </cfRule>
  </conditionalFormatting>
  <conditionalFormatting sqref="Y74:Y75">
    <cfRule type="cellIs" dxfId="127" priority="92" operator="lessThan">
      <formula>0</formula>
    </cfRule>
  </conditionalFormatting>
  <conditionalFormatting sqref="Y79:Y80">
    <cfRule type="cellIs" dxfId="126" priority="27" operator="lessThan">
      <formula>0</formula>
    </cfRule>
  </conditionalFormatting>
  <conditionalFormatting sqref="AA24:AA25">
    <cfRule type="cellIs" dxfId="125" priority="119" operator="lessThan">
      <formula>0</formula>
    </cfRule>
  </conditionalFormatting>
  <conditionalFormatting sqref="AA28:AA29">
    <cfRule type="cellIs" dxfId="124" priority="102" operator="lessThan">
      <formula>0</formula>
    </cfRule>
  </conditionalFormatting>
  <conditionalFormatting sqref="AA34:AA35">
    <cfRule type="cellIs" dxfId="123" priority="50" operator="lessThan">
      <formula>0</formula>
    </cfRule>
  </conditionalFormatting>
  <conditionalFormatting sqref="AA43:AA44">
    <cfRule type="cellIs" dxfId="122" priority="124" operator="lessThan">
      <formula>0</formula>
    </cfRule>
  </conditionalFormatting>
  <conditionalFormatting sqref="AA74:AA75">
    <cfRule type="cellIs" dxfId="121" priority="108" operator="lessThan">
      <formula>0</formula>
    </cfRule>
  </conditionalFormatting>
  <conditionalFormatting sqref="AB18">
    <cfRule type="cellIs" dxfId="120" priority="283" operator="notEqual">
      <formula>0</formula>
    </cfRule>
    <cfRule type="cellIs" dxfId="119" priority="282" operator="equal">
      <formula>0</formula>
    </cfRule>
  </conditionalFormatting>
  <conditionalFormatting sqref="AB80:AB85">
    <cfRule type="cellIs" dxfId="118" priority="72" operator="lessThan">
      <formula>0</formula>
    </cfRule>
  </conditionalFormatting>
  <conditionalFormatting sqref="AC24:AC25">
    <cfRule type="cellIs" dxfId="117" priority="103" operator="lessThan">
      <formula>0</formula>
    </cfRule>
  </conditionalFormatting>
  <conditionalFormatting sqref="AC28:AC29">
    <cfRule type="cellIs" dxfId="116" priority="100" operator="lessThan">
      <formula>0</formula>
    </cfRule>
  </conditionalFormatting>
  <conditionalFormatting sqref="AC34:AC35">
    <cfRule type="cellIs" dxfId="115" priority="48" operator="lessThan">
      <formula>0</formula>
    </cfRule>
  </conditionalFormatting>
  <conditionalFormatting sqref="AC42:AC44">
    <cfRule type="cellIs" dxfId="114" priority="116" operator="lessThan">
      <formula>0</formula>
    </cfRule>
  </conditionalFormatting>
  <conditionalFormatting sqref="AC50:AC51">
    <cfRule type="cellIs" dxfId="113" priority="81" operator="lessThan">
      <formula>0</formula>
    </cfRule>
  </conditionalFormatting>
  <conditionalFormatting sqref="AC61:AC62">
    <cfRule type="cellIs" dxfId="112" priority="77" operator="lessThan">
      <formula>0</formula>
    </cfRule>
  </conditionalFormatting>
  <conditionalFormatting sqref="AC74:AC75">
    <cfRule type="cellIs" dxfId="111" priority="106" operator="lessThan">
      <formula>0</formula>
    </cfRule>
  </conditionalFormatting>
  <conditionalFormatting sqref="AC88:AC97">
    <cfRule type="cellIs" dxfId="110" priority="90" operator="equal">
      <formula>0</formula>
    </cfRule>
    <cfRule type="cellIs" dxfId="109" priority="91" operator="notEqual">
      <formula>0</formula>
    </cfRule>
  </conditionalFormatting>
  <conditionalFormatting sqref="AC100 AE100">
    <cfRule type="cellIs" dxfId="108" priority="88" operator="equal">
      <formula>0</formula>
    </cfRule>
    <cfRule type="cellIs" dxfId="107" priority="89" operator="notEqual">
      <formula>0</formula>
    </cfRule>
  </conditionalFormatting>
  <conditionalFormatting sqref="AE12">
    <cfRule type="expression" dxfId="106" priority="3">
      <formula>AND($AF$2=TRUE,$H$49&lt;$L$49)</formula>
    </cfRule>
    <cfRule type="expression" dxfId="105" priority="4">
      <formula>AND($AF$2=TRUE,$H$49&gt;=$L$49)</formula>
    </cfRule>
  </conditionalFormatting>
  <conditionalFormatting sqref="AE14">
    <cfRule type="expression" dxfId="104" priority="6">
      <formula>AND($AF$2=TRUE,$H$51&gt;=$L$51)</formula>
    </cfRule>
    <cfRule type="expression" dxfId="103" priority="5">
      <formula>AND($AF$2=TRUE,$H$51&lt;$L$51)</formula>
    </cfRule>
  </conditionalFormatting>
  <conditionalFormatting sqref="AE18">
    <cfRule type="cellIs" dxfId="102" priority="280" operator="equal">
      <formula>0</formula>
    </cfRule>
    <cfRule type="cellIs" dxfId="101" priority="281" operator="notEqual">
      <formula>0</formula>
    </cfRule>
  </conditionalFormatting>
  <conditionalFormatting sqref="AE24:AE25">
    <cfRule type="cellIs" dxfId="100" priority="99" operator="lessThan">
      <formula>0</formula>
    </cfRule>
  </conditionalFormatting>
  <conditionalFormatting sqref="AE34:AE35">
    <cfRule type="cellIs" dxfId="99" priority="59" operator="lessThan">
      <formula>0</formula>
    </cfRule>
  </conditionalFormatting>
  <conditionalFormatting sqref="AE42:AE43">
    <cfRule type="cellIs" dxfId="98" priority="122" operator="lessThan">
      <formula>0</formula>
    </cfRule>
  </conditionalFormatting>
  <conditionalFormatting sqref="AE50:AE51">
    <cfRule type="cellIs" dxfId="97" priority="80" operator="lessThan">
      <formula>0</formula>
    </cfRule>
  </conditionalFormatting>
  <conditionalFormatting sqref="AE61:AE62">
    <cfRule type="cellIs" dxfId="96" priority="82" operator="lessThan">
      <formula>0</formula>
    </cfRule>
  </conditionalFormatting>
  <conditionalFormatting sqref="AE73:AE74">
    <cfRule type="cellIs" dxfId="95" priority="17" operator="lessThan">
      <formula>0</formula>
    </cfRule>
  </conditionalFormatting>
  <conditionalFormatting sqref="AE76:AE77">
    <cfRule type="cellIs" dxfId="94" priority="15" operator="lessThan">
      <formula>0</formula>
    </cfRule>
  </conditionalFormatting>
  <conditionalFormatting sqref="AE80:AE81">
    <cfRule type="cellIs" dxfId="93" priority="96" operator="lessThan">
      <formula>0</formula>
    </cfRule>
  </conditionalFormatting>
  <conditionalFormatting sqref="AE83:AE84">
    <cfRule type="cellIs" dxfId="92" priority="93" operator="lessThan">
      <formula>0</formula>
    </cfRule>
  </conditionalFormatting>
  <conditionalFormatting sqref="AF2">
    <cfRule type="expression" dxfId="91" priority="220">
      <formula>AND($AF$2=FALSE,$AE$2="추경")</formula>
    </cfRule>
  </conditionalFormatting>
  <conditionalFormatting sqref="AF12">
    <cfRule type="expression" dxfId="90" priority="2">
      <formula>AND($AF$2=TRUE,$H$48&gt;=$L$48)</formula>
    </cfRule>
    <cfRule type="expression" dxfId="89" priority="1">
      <formula>AND($AF$2=TRUE,$H$48&lt;$L$48)</formula>
    </cfRule>
  </conditionalFormatting>
  <conditionalFormatting sqref="AF14">
    <cfRule type="expression" dxfId="88" priority="8">
      <formula>AND($AF$2=TRUE,$H$50&gt;=$L$50)</formula>
    </cfRule>
    <cfRule type="expression" dxfId="87" priority="7">
      <formula>AND($AF$2=TRUE,$H$50&lt;$L$50)</formula>
    </cfRule>
  </conditionalFormatting>
  <conditionalFormatting sqref="AF73">
    <cfRule type="cellIs" dxfId="86" priority="19" operator="lessThan">
      <formula>0</formula>
    </cfRule>
  </conditionalFormatting>
  <conditionalFormatting sqref="AF76">
    <cfRule type="cellIs" dxfId="85" priority="18" operator="lessThan">
      <formula>0</formula>
    </cfRule>
  </conditionalFormatting>
  <conditionalFormatting sqref="AF80">
    <cfRule type="cellIs" dxfId="84" priority="105" operator="lessThan">
      <formula>0</formula>
    </cfRule>
  </conditionalFormatting>
  <conditionalFormatting sqref="AF83">
    <cfRule type="cellIs" dxfId="83" priority="104" operator="lessThan">
      <formula>0</formula>
    </cfRule>
  </conditionalFormatting>
  <conditionalFormatting sqref="AI26:AI33">
    <cfRule type="cellIs" dxfId="82" priority="277" operator="lessThan">
      <formula>0</formula>
    </cfRule>
  </conditionalFormatting>
  <conditionalFormatting sqref="AI35:AI75 AI77:AI83 G139:K139">
    <cfRule type="cellIs" dxfId="81" priority="197" operator="lessThan">
      <formula>0</formula>
    </cfRule>
  </conditionalFormatting>
  <conditionalFormatting sqref="AI85:AI90">
    <cfRule type="cellIs" dxfId="80" priority="306" operator="lessThan">
      <formula>0</formula>
    </cfRule>
  </conditionalFormatting>
  <conditionalFormatting sqref="AI92:AI94">
    <cfRule type="cellIs" dxfId="79" priority="13" operator="lessThan">
      <formula>0</formula>
    </cfRule>
  </conditionalFormatting>
  <conditionalFormatting sqref="AM1:AM2">
    <cfRule type="containsText" dxfId="78" priority="199" operator="containsText" text="true">
      <formula>NOT(ISERROR(SEARCH("true",AM1)))</formula>
    </cfRule>
    <cfRule type="containsText" dxfId="77" priority="200" operator="containsText" text="false">
      <formula>NOT(ISERROR(SEARCH("false",AM1)))</formula>
    </cfRule>
  </conditionalFormatting>
  <conditionalFormatting sqref="AR5:AS5">
    <cfRule type="expression" dxfId="76" priority="31">
      <formula>$Y$12&gt;=VLOOKUP($AB$2,AH$17:AJ$23,2,FALSE)</formula>
    </cfRule>
    <cfRule type="expression" dxfId="75" priority="30">
      <formula>$Y$12&lt;VLOOKUP($AB$2,AH$17:AJ$23,2,FALSE)</formula>
    </cfRule>
  </conditionalFormatting>
  <conditionalFormatting sqref="BD73">
    <cfRule type="expression" dxfId="74" priority="481">
      <formula>$Y$12&lt;VLOOKUP($AB$2,AU$17:AW$23,2,FALSE)</formula>
    </cfRule>
    <cfRule type="expression" dxfId="73" priority="482">
      <formula>$Y$12&gt;=VLOOKUP($AB$2,AU$17:AW$23,2,FALSE)</formula>
    </cfRule>
  </conditionalFormatting>
  <pageMargins left="0.7" right="0.7" top="0.75" bottom="0.75" header="0.3" footer="0.3"/>
  <pageSetup paperSize="9" orientation="portrait" verticalDpi="0" r:id="rId1"/>
  <ignoredErrors>
    <ignoredError sqref="L33 L39 P9 P12 P17" formula="1"/>
    <ignoredError sqref="O25:O26 AE20:AF22 AD1 AF10 O7:O22 O23:O24 AD2 T29 V14:V18 V20:V21 V19 V22:V24 V11:V12 V8:V9 V7 V10 V13 V28 AB77 AB76 Z77 Z76 X76 X77 AD30:AD31 AB30:AB31 Z30:Z31 AB27 AB26 AD26 AD27 Z27 AF27:AF31 AF26 Z26 Z29:AD29 Z46 Z45 X45 Z44:AA44 Z38:Z41 Z36 Z37 AB38:AB41 AB36 AB37 AD38:AD41 AD36 AD37 X38:X41 Z47:Z49 AB47:AB49 AD47:AD49 X47:X49 Z54:Z55 Z57:Z60 Z70:Z71 Z64 Z63 AD68:AD69 AD70:AD71 AF67:AF69 AF66 AF70:AF71 AF64 AF65 AF63 AD54 AD53 AD55 AD56 AD57:AD60 AD52 AD84:AE84 AD85 AD82 AD81:AE81 AB63 AB64 AB67:AB69 AB66 AB70:AB71 AB62:AF62 AD61:AF61 X61:AB61 X62:Z62 AF42 X42:AA42 X43:AE43 AF50 AD50 X50:AB50 X51:AE51 AD64 AD63 X63 X64 AD83:AF83 X75:AC75 AB65 AB53 X53 AB52 X52 X54:X55 AB56 X56 X57:X60 X65:X66 Z67:Z69 X36 Z66 X70:X71 X35:AD35 AC44:AD44 X44 X46 X37 Z25:AF25 X23:AF23 X27:Y27 X25:Y25 Y38:Y41 Y37 Y47:Y49 Y46 Y45 Y44 AE44 Y36 AE35:AF35 X72:AF73 Y70:Y71 Y69 Y66 AA66 AA69 Y65:AA65 AC61 Y57:Y60 Y56:Z56 AC56 Y54 Y53:Z53 Y52:Z52 AC52 AC53 AC65 Y76 AD74:AF75 X84:AC84 X83:AC83 Y64 Y63 AF51 AC50 AE50 AF43 AE42 AA62 AC70:AC71 AC66 AC67:AC69 AC64 X82:AC82 X81:AC81 AF81 AE82:AF82 X85:AC85 AE85:AF85 AF84 AE52 AE57:AE60 AE56 Y55 AE55 AE53 AE54 AE70:AE71 AE69 AA63 AA64 AA70:AA71 AC57:AC60 AC54 AC55 AE47:AE49 AC47:AC49 AA47:AA49 AE37 AE38:AE41 AC37 AC36 AC38:AC41 AA37 AA36 AA38:AA41 AE45 AE46 X32:AF34 X28:Y29 AE28:AE29 X26:Y26 AA26 X31:Y31 AA27 AE27 AE26 AC26 AC27 AA30:AA31 AC30:AC31 AE30:AE31 X78:AF80 Y77 AA76 AA77 AC76:AF76 AC77:AF77 X24:Z24 AD24:AF24 AB24 Z28 AB28 AD28 X74 Z74 AB74 X30 AE68 AD65:AE67 AB54:AB55 AB57:AB60 AA52:AA60 AF52:AF60 AF44:AF49 AF36:AF41 AC42:AD42 AE12:AF13 AE14 X69 AD46 AD45 AB46 AB45" unlockedFormula="1"/>
    <ignoredError sqref="AB44" formula="1" unlockedFormula="1"/>
    <ignoredError sqref="E3:E40 E42:E13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159" r:id="rId4" name="Check Box 87">
              <controlPr defaultSize="0" autoFill="0" autoLine="0" autoPict="0">
                <anchor moveWithCells="1">
                  <from>
                    <xdr:col>27</xdr:col>
                    <xdr:colOff>400050</xdr:colOff>
                    <xdr:row>4</xdr:row>
                    <xdr:rowOff>9525</xdr:rowOff>
                  </from>
                  <to>
                    <xdr:col>27</xdr:col>
                    <xdr:colOff>990600</xdr:colOff>
                    <xdr:row>4</xdr:row>
                    <xdr:rowOff>200025</xdr:rowOff>
                  </to>
                </anchor>
              </controlPr>
            </control>
          </mc:Choice>
        </mc:AlternateContent>
        <mc:AlternateContent xmlns:mc="http://schemas.openxmlformats.org/markup-compatibility/2006">
          <mc:Choice Requires="x14">
            <control shapeId="3160" r:id="rId5" name="Check Box 88">
              <controlPr defaultSize="0" autoFill="0" autoLine="0" autoPict="0">
                <anchor moveWithCells="1">
                  <from>
                    <xdr:col>28</xdr:col>
                    <xdr:colOff>400050</xdr:colOff>
                    <xdr:row>4</xdr:row>
                    <xdr:rowOff>9525</xdr:rowOff>
                  </from>
                  <to>
                    <xdr:col>28</xdr:col>
                    <xdr:colOff>990600</xdr:colOff>
                    <xdr:row>4</xdr:row>
                    <xdr:rowOff>200025</xdr:rowOff>
                  </to>
                </anchor>
              </controlPr>
            </control>
          </mc:Choice>
        </mc:AlternateContent>
        <mc:AlternateContent xmlns:mc="http://schemas.openxmlformats.org/markup-compatibility/2006">
          <mc:Choice Requires="x14">
            <control shapeId="3161" r:id="rId6" name="Check Box 89">
              <controlPr defaultSize="0" autoFill="0" autoLine="0" autoPict="0">
                <anchor moveWithCells="1">
                  <from>
                    <xdr:col>29</xdr:col>
                    <xdr:colOff>400050</xdr:colOff>
                    <xdr:row>4</xdr:row>
                    <xdr:rowOff>9525</xdr:rowOff>
                  </from>
                  <to>
                    <xdr:col>30</xdr:col>
                    <xdr:colOff>19050</xdr:colOff>
                    <xdr:row>4</xdr:row>
                    <xdr:rowOff>200025</xdr:rowOff>
                  </to>
                </anchor>
              </controlPr>
            </control>
          </mc:Choice>
        </mc:AlternateContent>
        <mc:AlternateContent xmlns:mc="http://schemas.openxmlformats.org/markup-compatibility/2006">
          <mc:Choice Requires="x14">
            <control shapeId="3162" r:id="rId7" name="Check Box 90">
              <controlPr defaultSize="0" autoFill="0" autoLine="0" autoPict="0">
                <anchor moveWithCells="1">
                  <from>
                    <xdr:col>30</xdr:col>
                    <xdr:colOff>400050</xdr:colOff>
                    <xdr:row>4</xdr:row>
                    <xdr:rowOff>9525</xdr:rowOff>
                  </from>
                  <to>
                    <xdr:col>31</xdr:col>
                    <xdr:colOff>19050</xdr:colOff>
                    <xdr:row>4</xdr:row>
                    <xdr:rowOff>200025</xdr:rowOff>
                  </to>
                </anchor>
              </controlPr>
            </control>
          </mc:Choice>
        </mc:AlternateContent>
        <mc:AlternateContent xmlns:mc="http://schemas.openxmlformats.org/markup-compatibility/2006">
          <mc:Choice Requires="x14">
            <control shapeId="3163" r:id="rId8" name="Check Box 91">
              <controlPr defaultSize="0" autoFill="0" autoLine="0" autoPict="0">
                <anchor moveWithCells="1">
                  <from>
                    <xdr:col>24</xdr:col>
                    <xdr:colOff>400050</xdr:colOff>
                    <xdr:row>4</xdr:row>
                    <xdr:rowOff>9525</xdr:rowOff>
                  </from>
                  <to>
                    <xdr:col>24</xdr:col>
                    <xdr:colOff>990600</xdr:colOff>
                    <xdr:row>4</xdr:row>
                    <xdr:rowOff>209550</xdr:rowOff>
                  </to>
                </anchor>
              </controlPr>
            </control>
          </mc:Choice>
        </mc:AlternateContent>
        <mc:AlternateContent xmlns:mc="http://schemas.openxmlformats.org/markup-compatibility/2006">
          <mc:Choice Requires="x14">
            <control shapeId="3164" r:id="rId9" name="Check Box 92">
              <controlPr defaultSize="0" autoFill="0" autoLine="0" autoPict="0">
                <anchor moveWithCells="1">
                  <from>
                    <xdr:col>25</xdr:col>
                    <xdr:colOff>400050</xdr:colOff>
                    <xdr:row>4</xdr:row>
                    <xdr:rowOff>9525</xdr:rowOff>
                  </from>
                  <to>
                    <xdr:col>25</xdr:col>
                    <xdr:colOff>990600</xdr:colOff>
                    <xdr:row>4</xdr:row>
                    <xdr:rowOff>209550</xdr:rowOff>
                  </to>
                </anchor>
              </controlPr>
            </control>
          </mc:Choice>
        </mc:AlternateContent>
        <mc:AlternateContent xmlns:mc="http://schemas.openxmlformats.org/markup-compatibility/2006">
          <mc:Choice Requires="x14">
            <control shapeId="3165" r:id="rId10" name="Check Box 93">
              <controlPr defaultSize="0" autoFill="0" autoLine="0" autoPict="0">
                <anchor moveWithCells="1">
                  <from>
                    <xdr:col>26</xdr:col>
                    <xdr:colOff>400050</xdr:colOff>
                    <xdr:row>4</xdr:row>
                    <xdr:rowOff>9525</xdr:rowOff>
                  </from>
                  <to>
                    <xdr:col>26</xdr:col>
                    <xdr:colOff>990600</xdr:colOff>
                    <xdr:row>4</xdr:row>
                    <xdr:rowOff>209550</xdr:rowOff>
                  </to>
                </anchor>
              </controlPr>
            </control>
          </mc:Choice>
        </mc:AlternateContent>
        <mc:AlternateContent xmlns:mc="http://schemas.openxmlformats.org/markup-compatibility/2006">
          <mc:Choice Requires="x14">
            <control shapeId="3166" r:id="rId11" name="Check Box 94">
              <controlPr defaultSize="0" autoFill="0" autoLine="0" autoPict="0" altText="">
                <anchor moveWithCells="1">
                  <from>
                    <xdr:col>23</xdr:col>
                    <xdr:colOff>476250</xdr:colOff>
                    <xdr:row>4</xdr:row>
                    <xdr:rowOff>9525</xdr:rowOff>
                  </from>
                  <to>
                    <xdr:col>23</xdr:col>
                    <xdr:colOff>1066800</xdr:colOff>
                    <xdr:row>4</xdr:row>
                    <xdr:rowOff>209550</xdr:rowOff>
                  </to>
                </anchor>
              </controlPr>
            </control>
          </mc:Choice>
        </mc:AlternateContent>
        <mc:AlternateContent xmlns:mc="http://schemas.openxmlformats.org/markup-compatibility/2006">
          <mc:Choice Requires="x14">
            <control shapeId="3167" r:id="rId12" name="Check Box 95">
              <controlPr defaultSize="0" autoFill="0" autoLine="0" autoPict="0">
                <anchor moveWithCells="1">
                  <from>
                    <xdr:col>31</xdr:col>
                    <xdr:colOff>400050</xdr:colOff>
                    <xdr:row>4</xdr:row>
                    <xdr:rowOff>9525</xdr:rowOff>
                  </from>
                  <to>
                    <xdr:col>32</xdr:col>
                    <xdr:colOff>19050</xdr:colOff>
                    <xdr:row>4</xdr:row>
                    <xdr:rowOff>209550</xdr:rowOff>
                  </to>
                </anchor>
              </controlPr>
            </control>
          </mc:Choice>
        </mc:AlternateContent>
        <mc:AlternateContent xmlns:mc="http://schemas.openxmlformats.org/markup-compatibility/2006">
          <mc:Choice Requires="x14">
            <control shapeId="3190" r:id="rId13" name="Check Box 118">
              <controlPr defaultSize="0" autoFill="0" autoLine="0" autoPict="0">
                <anchor moveWithCells="1">
                  <from>
                    <xdr:col>31</xdr:col>
                    <xdr:colOff>390525</xdr:colOff>
                    <xdr:row>0</xdr:row>
                    <xdr:rowOff>209550</xdr:rowOff>
                  </from>
                  <to>
                    <xdr:col>31</xdr:col>
                    <xdr:colOff>695325</xdr:colOff>
                    <xdr:row>1</xdr:row>
                    <xdr:rowOff>209550</xdr:rowOff>
                  </to>
                </anchor>
              </controlPr>
            </control>
          </mc:Choice>
        </mc:AlternateContent>
        <mc:AlternateContent xmlns:mc="http://schemas.openxmlformats.org/markup-compatibility/2006">
          <mc:Choice Requires="x14">
            <control shapeId="3302" r:id="rId14" name="Check Box 230">
              <controlPr defaultSize="0" autoFill="0" autoLine="0" autoPict="0">
                <anchor moveWithCells="1">
                  <from>
                    <xdr:col>38</xdr:col>
                    <xdr:colOff>352425</xdr:colOff>
                    <xdr:row>1</xdr:row>
                    <xdr:rowOff>0</xdr:rowOff>
                  </from>
                  <to>
                    <xdr:col>38</xdr:col>
                    <xdr:colOff>657225</xdr:colOff>
                    <xdr:row>2</xdr:row>
                    <xdr:rowOff>0</xdr:rowOff>
                  </to>
                </anchor>
              </controlPr>
            </control>
          </mc:Choice>
        </mc:AlternateContent>
        <mc:AlternateContent xmlns:mc="http://schemas.openxmlformats.org/markup-compatibility/2006">
          <mc:Choice Requires="x14">
            <control shapeId="3307" r:id="rId15" name="Check Box 235">
              <controlPr defaultSize="0" autoFill="0" autoLine="0" autoPict="0">
                <anchor moveWithCells="1">
                  <from>
                    <xdr:col>38</xdr:col>
                    <xdr:colOff>352425</xdr:colOff>
                    <xdr:row>0</xdr:row>
                    <xdr:rowOff>0</xdr:rowOff>
                  </from>
                  <to>
                    <xdr:col>38</xdr:col>
                    <xdr:colOff>657225</xdr:colOff>
                    <xdr:row>1</xdr:row>
                    <xdr:rowOff>0</xdr:rowOff>
                  </to>
                </anchor>
              </controlPr>
            </control>
          </mc:Choice>
        </mc:AlternateContent>
        <mc:AlternateContent xmlns:mc="http://schemas.openxmlformats.org/markup-compatibility/2006">
          <mc:Choice Requires="x14">
            <control shapeId="3317" r:id="rId16" name="Check Box 245">
              <controlPr defaultSize="0" autoFill="0" autoLine="0" autoPict="0">
                <anchor moveWithCells="1">
                  <from>
                    <xdr:col>33</xdr:col>
                    <xdr:colOff>352425</xdr:colOff>
                    <xdr:row>4</xdr:row>
                    <xdr:rowOff>9525</xdr:rowOff>
                  </from>
                  <to>
                    <xdr:col>34</xdr:col>
                    <xdr:colOff>47625</xdr:colOff>
                    <xdr:row>4</xdr:row>
                    <xdr:rowOff>209550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19" id="{75B85FF9-87E6-4E50-9111-FDD2B42C45BB}">
            <xm:f>AND($X$5=FALSE,예산실적비교표!$E$2=$X$4)</xm:f>
            <x14:dxf>
              <font>
                <color rgb="FFC00000"/>
              </font>
              <fill>
                <patternFill>
                  <bgColor rgb="FFC00000"/>
                </patternFill>
              </fill>
            </x14:dxf>
          </x14:cfRule>
          <xm:sqref>X5</xm:sqref>
        </x14:conditionalFormatting>
        <x14:conditionalFormatting xmlns:xm="http://schemas.microsoft.com/office/excel/2006/main">
          <x14:cfRule type="expression" priority="218" id="{AC72F33C-57DD-4329-BD4D-0B3304379228}">
            <xm:f>AND($Y$5=FALSE,예산실적비교표!$E$2=$Y$4)</xm:f>
            <x14:dxf>
              <font>
                <color rgb="FFC00000"/>
              </font>
              <fill>
                <patternFill>
                  <bgColor rgb="FFC00000"/>
                </patternFill>
              </fill>
            </x14:dxf>
          </x14:cfRule>
          <xm:sqref>Y5</xm:sqref>
        </x14:conditionalFormatting>
        <x14:conditionalFormatting xmlns:xm="http://schemas.microsoft.com/office/excel/2006/main">
          <x14:cfRule type="expression" priority="217" id="{D8F34B90-7456-49BF-AFA0-67276ED2CC58}">
            <xm:f>AND($Z$5=FALSE,예산실적비교표!$E$2=$Z$4)</xm:f>
            <x14:dxf>
              <font>
                <color rgb="FFC00000"/>
              </font>
              <fill>
                <patternFill>
                  <bgColor rgb="FFC00000"/>
                </patternFill>
              </fill>
            </x14:dxf>
          </x14:cfRule>
          <xm:sqref>Z5</xm:sqref>
        </x14:conditionalFormatting>
        <x14:conditionalFormatting xmlns:xm="http://schemas.microsoft.com/office/excel/2006/main">
          <x14:cfRule type="expression" priority="216" id="{2BCB0D84-B7EC-4CAC-8324-64FD28E190EF}">
            <xm:f>AND($AA$5=FALSE,예산실적비교표!$E$2=$AA$4)</xm:f>
            <x14:dxf>
              <font>
                <color rgb="FFC00000"/>
              </font>
              <fill>
                <patternFill>
                  <bgColor rgb="FFC00000"/>
                </patternFill>
              </fill>
            </x14:dxf>
          </x14:cfRule>
          <xm:sqref>AA5</xm:sqref>
        </x14:conditionalFormatting>
        <x14:conditionalFormatting xmlns:xm="http://schemas.microsoft.com/office/excel/2006/main">
          <x14:cfRule type="expression" priority="215" id="{A2BCAB1F-AB92-4ABA-BDE3-D6F5CB4AB9EB}">
            <xm:f>AND($AB$5=FALSE,예산실적비교표!$E$2=$AB$4)</xm:f>
            <x14:dxf>
              <font>
                <color rgb="FFC00000"/>
              </font>
              <fill>
                <patternFill>
                  <bgColor rgb="FFC00000"/>
                </patternFill>
              </fill>
            </x14:dxf>
          </x14:cfRule>
          <xm:sqref>AB5</xm:sqref>
        </x14:conditionalFormatting>
        <x14:conditionalFormatting xmlns:xm="http://schemas.microsoft.com/office/excel/2006/main">
          <x14:cfRule type="expression" priority="214" id="{CE43BFD4-6501-4E69-9F77-FF88043FF6E6}">
            <xm:f>AND($AC$5=FALSE,예산실적비교표!$F$2=$AC$4)</xm:f>
            <x14:dxf>
              <font>
                <color rgb="FFC00000"/>
              </font>
              <fill>
                <patternFill>
                  <bgColor rgb="FFC00000"/>
                </patternFill>
              </fill>
            </x14:dxf>
          </x14:cfRule>
          <xm:sqref>AC5</xm:sqref>
        </x14:conditionalFormatting>
        <x14:conditionalFormatting xmlns:xm="http://schemas.microsoft.com/office/excel/2006/main">
          <x14:cfRule type="expression" priority="213" id="{3FDC12E0-9048-4CB9-9F64-9E925297CACE}">
            <xm:f>AND($AD$5=FALSE,예산실적비교표!$E$2=$AD$4)</xm:f>
            <x14:dxf>
              <font>
                <color rgb="FFC00000"/>
              </font>
              <fill>
                <patternFill>
                  <bgColor rgb="FFC00000"/>
                </patternFill>
              </fill>
            </x14:dxf>
          </x14:cfRule>
          <xm:sqref>AD5</xm:sqref>
        </x14:conditionalFormatting>
        <x14:conditionalFormatting xmlns:xm="http://schemas.microsoft.com/office/excel/2006/main">
          <x14:cfRule type="expression" priority="212" id="{CA1072D0-F70A-4328-86AD-3C32E58302F2}">
            <xm:f>AND($AE$5=FALSE,예산실적비교표!$E$2=$AE$4)</xm:f>
            <x14:dxf>
              <font>
                <color rgb="FFC00000"/>
              </font>
              <fill>
                <patternFill>
                  <bgColor rgb="FFC00000"/>
                </patternFill>
              </fill>
            </x14:dxf>
          </x14:cfRule>
          <xm:sqref>AE5</xm:sqref>
        </x14:conditionalFormatting>
        <x14:conditionalFormatting xmlns:xm="http://schemas.microsoft.com/office/excel/2006/main">
          <x14:cfRule type="expression" priority="211" id="{F00EE628-762A-420D-A264-7FBA2E547613}">
            <xm:f>AND($AF$5=FALSE,예산실적비교표!$E$2=$AF$4)</xm:f>
            <x14:dxf>
              <font>
                <color rgb="FFC00000"/>
              </font>
              <fill>
                <patternFill>
                  <bgColor rgb="FFC00000"/>
                </patternFill>
              </fill>
            </x14:dxf>
          </x14:cfRule>
          <xm:sqref>AF5</xm:sqref>
        </x14:conditionalFormatting>
        <x14:conditionalFormatting xmlns:xm="http://schemas.microsoft.com/office/excel/2006/main">
          <x14:cfRule type="expression" priority="14" id="{7982F83A-B6A4-492C-8F4D-41BCAD63F07A}">
            <xm:f>AND($AH$5=FALSE,예산실적비교표!$I$5=$AH$4)</xm:f>
            <x14:dxf>
              <font>
                <color rgb="FFC00000"/>
              </font>
              <fill>
                <patternFill>
                  <bgColor rgb="FFC00000"/>
                </patternFill>
              </fill>
            </x14:dxf>
          </x14:cfRule>
          <xm:sqref>AH5</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D193E-8E65-4CD9-AA20-1C997879B908}">
  <sheetPr>
    <tabColor theme="4"/>
    <pageSetUpPr fitToPage="1"/>
  </sheetPr>
  <dimension ref="A1:AL184"/>
  <sheetViews>
    <sheetView view="pageBreakPreview" topLeftCell="B1" zoomScaleNormal="85" zoomScaleSheetLayoutView="100" workbookViewId="0">
      <selection activeCell="V183" sqref="V183:W183"/>
    </sheetView>
  </sheetViews>
  <sheetFormatPr defaultRowHeight="16.5"/>
  <cols>
    <col min="1" max="2" width="13.25" style="97" customWidth="1"/>
    <col min="3" max="4" width="13.625" style="97" customWidth="1"/>
    <col min="5" max="5" width="9.375" style="97" customWidth="1"/>
    <col min="6" max="6" width="3.125" style="145" customWidth="1"/>
    <col min="7" max="7" width="8.25" style="97" customWidth="1"/>
    <col min="8" max="10" width="9.625" style="97" customWidth="1"/>
    <col min="11" max="11" width="28.5" style="97" hidden="1" customWidth="1"/>
    <col min="12" max="12" width="26.625" style="97" customWidth="1"/>
    <col min="13" max="13" width="4.625" style="97" customWidth="1"/>
    <col min="14" max="14" width="11.875" style="97" customWidth="1"/>
    <col min="15" max="15" width="3.5" style="146" customWidth="1"/>
    <col min="16" max="16" width="7.625" style="97" customWidth="1"/>
    <col min="17" max="17" width="3.5" style="146" customWidth="1"/>
    <col min="18" max="18" width="5.75" style="97" customWidth="1"/>
    <col min="19" max="21" width="3.5" style="146" customWidth="1"/>
    <col min="22" max="25" width="14" style="97" customWidth="1"/>
    <col min="26" max="27" width="9.5" style="97" hidden="1" customWidth="1"/>
    <col min="28" max="28" width="25.75" style="97" hidden="1" customWidth="1"/>
    <col min="29" max="29" width="9" style="97" hidden="1" customWidth="1"/>
    <col min="30" max="30" width="10" style="97" hidden="1" customWidth="1"/>
    <col min="31" max="37" width="9" style="97" hidden="1" customWidth="1"/>
    <col min="38" max="38" width="12" style="97" hidden="1" customWidth="1"/>
  </cols>
  <sheetData>
    <row r="1" spans="1:38" ht="39">
      <c r="A1" s="1644" t="str">
        <f>IF(데이터입력!$AE$2="추경","세입 명세서 ("&amp;데이터입력!Y1&amp;"년도 추경"&amp;데이터입력!$AI$2&amp;"차)","세입 명세서 ("&amp;데이터입력!Y1&amp;"년도)")</f>
        <v>세입 명세서 (2026년도)</v>
      </c>
      <c r="B1" s="1644"/>
      <c r="C1" s="1644"/>
      <c r="D1" s="1644"/>
      <c r="E1" s="1644"/>
      <c r="F1" s="1644"/>
      <c r="G1" s="1644"/>
      <c r="H1" s="1644"/>
      <c r="I1" s="1644"/>
      <c r="J1" s="1644"/>
      <c r="K1" s="1644"/>
      <c r="L1" s="1644"/>
      <c r="M1" s="1644"/>
      <c r="N1" s="1644"/>
      <c r="O1" s="1644"/>
      <c r="P1" s="1644"/>
      <c r="Q1" s="1644"/>
      <c r="R1" s="1644"/>
      <c r="S1" s="1644"/>
      <c r="T1" s="1644"/>
      <c r="U1" s="1644"/>
      <c r="V1" s="1644"/>
      <c r="W1" s="1644"/>
      <c r="X1" s="1644"/>
      <c r="Y1" s="209"/>
    </row>
    <row r="2" spans="1:38">
      <c r="A2" s="98" t="s">
        <v>374</v>
      </c>
      <c r="B2" s="99"/>
      <c r="C2" s="99"/>
      <c r="D2" s="99"/>
      <c r="E2" s="99"/>
      <c r="F2" s="99"/>
      <c r="G2" s="99"/>
      <c r="H2" s="100"/>
      <c r="I2" s="100"/>
      <c r="J2" s="100"/>
      <c r="K2" s="100"/>
      <c r="L2" s="100"/>
      <c r="M2" s="100"/>
      <c r="N2" s="100"/>
      <c r="O2" s="101"/>
      <c r="P2" s="100"/>
      <c r="Q2" s="101"/>
      <c r="R2" s="1661" t="s">
        <v>375</v>
      </c>
      <c r="S2" s="1661"/>
      <c r="T2" s="1661"/>
      <c r="U2" s="1661"/>
      <c r="V2" s="1661"/>
      <c r="W2" s="1661"/>
      <c r="X2" s="1661"/>
      <c r="Y2" s="1661"/>
    </row>
    <row r="3" spans="1:38">
      <c r="A3" s="102" t="s">
        <v>376</v>
      </c>
      <c r="B3" s="102" t="s">
        <v>377</v>
      </c>
      <c r="C3" s="102" t="s">
        <v>378</v>
      </c>
      <c r="D3" s="102" t="s">
        <v>1</v>
      </c>
      <c r="E3" s="102" t="s">
        <v>2</v>
      </c>
      <c r="F3" s="1657" t="s">
        <v>133</v>
      </c>
      <c r="G3" s="1658"/>
      <c r="H3" s="103" t="str">
        <f>IF(데이터입력!$AE$2="추경","본예산액","전년도예산")</f>
        <v>전년도예산</v>
      </c>
      <c r="I3" s="103" t="str">
        <f>IF(데이터입력!$AE$2="추경","추경예산액","예산액")</f>
        <v>예산액</v>
      </c>
      <c r="J3" s="103" t="s">
        <v>293</v>
      </c>
      <c r="K3" s="202"/>
      <c r="L3" s="1659" t="s">
        <v>379</v>
      </c>
      <c r="M3" s="1660"/>
      <c r="N3" s="1660"/>
      <c r="O3" s="1660"/>
      <c r="P3" s="1660"/>
      <c r="Q3" s="1660"/>
      <c r="R3" s="1660"/>
      <c r="S3" s="1660"/>
      <c r="T3" s="1660"/>
      <c r="U3" s="1660"/>
      <c r="V3" s="104" t="s">
        <v>380</v>
      </c>
      <c r="W3" s="104" t="s">
        <v>381</v>
      </c>
      <c r="X3" s="104" t="s">
        <v>382</v>
      </c>
      <c r="Y3" s="104" t="s">
        <v>629</v>
      </c>
    </row>
    <row r="4" spans="1:38" ht="27">
      <c r="A4" s="265" t="s">
        <v>295</v>
      </c>
      <c r="B4" s="266" t="s">
        <v>4</v>
      </c>
      <c r="C4" s="249"/>
      <c r="D4" s="249"/>
      <c r="E4" s="249"/>
      <c r="F4" s="249"/>
      <c r="G4" s="249"/>
      <c r="H4" s="250">
        <f>SUM(H5,H27,H30,H33,H36)</f>
        <v>352004</v>
      </c>
      <c r="I4" s="250">
        <f>SUM(I5,I27,I30,I33,I36)</f>
        <v>357740</v>
      </c>
      <c r="J4" s="250">
        <f>SUM(J5,J27,J30,J33,J36)</f>
        <v>5736</v>
      </c>
      <c r="K4" s="250"/>
      <c r="L4" s="251"/>
      <c r="M4" s="251"/>
      <c r="N4" s="251"/>
      <c r="O4" s="251"/>
      <c r="P4" s="251"/>
      <c r="Q4" s="251"/>
      <c r="R4" s="251"/>
      <c r="S4" s="251"/>
      <c r="T4" s="251"/>
      <c r="U4" s="251"/>
      <c r="V4" s="273">
        <f>SUM(V5,V27,V30,V33,V36)</f>
        <v>357740160</v>
      </c>
      <c r="W4" s="273">
        <f t="shared" ref="W4:Y4" si="0">SUM(W5,W27,W30,W33,W36)</f>
        <v>0</v>
      </c>
      <c r="X4" s="273">
        <f t="shared" si="0"/>
        <v>0</v>
      </c>
      <c r="Y4" s="273">
        <f t="shared" si="0"/>
        <v>357740160</v>
      </c>
    </row>
    <row r="5" spans="1:38">
      <c r="A5" s="106"/>
      <c r="B5" s="107"/>
      <c r="C5" s="107" t="s">
        <v>5</v>
      </c>
      <c r="D5" s="107" t="s">
        <v>5</v>
      </c>
      <c r="E5" s="107">
        <v>401010201</v>
      </c>
      <c r="F5" s="108" t="s">
        <v>83</v>
      </c>
      <c r="G5" s="107" t="s">
        <v>6</v>
      </c>
      <c r="H5" s="109">
        <f>IFERROR(IF(VLOOKUP(K5,데이터입력!$C$3:$L$40,5,FALSE)&lt;1000,ROUNDUP(VLOOKUP(K5,데이터입력!$C$3:$L$40,5,FALSE)*1/1000,0),ROUND(VLOOKUP(K5,데이터입력!$C$3:$L$40,5,FALSE)*1/1000,0)),0)+데이터입력!$AC$101</f>
        <v>196824</v>
      </c>
      <c r="I5" s="109">
        <f>IFERROR(IF(F5="06",IF(V5&lt;1000,ROUNDUP((V5)*1/1000,0),ROUND((V5)*1/1000,0)),IF(F5="07",IF(W5&lt;1000,ROUNDUP((W5)*1/1000,0),ROUND((W5)*1/1000,0)),IF(F5="05",IF(X5&lt;1000,ROUNDUP((X5)*1/1000,0),ROUND((X5)*1/1000,0))))),0)+데이터입력!$AE$101</f>
        <v>202560</v>
      </c>
      <c r="J5" s="110">
        <f>I5-H5</f>
        <v>5736</v>
      </c>
      <c r="K5" s="110" t="str">
        <f>D5&amp;"("&amp;G5&amp;")"</f>
        <v>본인부담금수입(수익사업)</v>
      </c>
      <c r="L5" s="111" t="str">
        <f>D5</f>
        <v>본인부담금수입</v>
      </c>
      <c r="M5" s="112"/>
      <c r="N5" s="113"/>
      <c r="O5" s="114"/>
      <c r="P5" s="113"/>
      <c r="Q5" s="114"/>
      <c r="R5" s="113"/>
      <c r="S5" s="114"/>
      <c r="T5" s="114"/>
      <c r="U5" s="114"/>
      <c r="V5" s="115">
        <f>SUM(V6:V26)</f>
        <v>202560000</v>
      </c>
      <c r="W5" s="115">
        <f t="shared" ref="W5:X5" si="1">SUM(W6:W26)</f>
        <v>0</v>
      </c>
      <c r="X5" s="115">
        <f t="shared" si="1"/>
        <v>0</v>
      </c>
      <c r="Y5" s="115">
        <f>SUM(V5:X5)</f>
        <v>202560000</v>
      </c>
    </row>
    <row r="6" spans="1:38">
      <c r="A6" s="116"/>
      <c r="B6" s="116"/>
      <c r="C6" s="117"/>
      <c r="D6" s="118"/>
      <c r="E6" s="119"/>
      <c r="F6" s="119"/>
      <c r="G6" s="119"/>
      <c r="H6" s="119"/>
      <c r="I6" s="119"/>
      <c r="J6" s="119"/>
      <c r="K6" s="907">
        <v>1</v>
      </c>
      <c r="L6" s="126" t="str">
        <f>IFERROR(VLOOKUP($K6,$Z$6:$AL$27,3,FALSE),"")</f>
        <v xml:space="preserve">    - 시설(1등급)</v>
      </c>
      <c r="M6" s="212">
        <f>IFERROR(VLOOKUP($L6,$AB5:$AL27,2,FALSE),"")</f>
        <v>0.2</v>
      </c>
      <c r="N6" s="123">
        <f>IFERROR(VLOOKUP($L6,$AB5:$AL27,3,FALSE),"")</f>
        <v>566000</v>
      </c>
      <c r="O6" s="214" t="str">
        <f>IFERROR(VLOOKUP($L6,$AB5:$AL27,4,FALSE),"")</f>
        <v xml:space="preserve"> x  </v>
      </c>
      <c r="P6" s="215">
        <f>IFERROR(VLOOKUP($L6,$AB5:$AL27,5,FALSE),"")</f>
        <v>4</v>
      </c>
      <c r="Q6" s="214" t="str">
        <f>IFERROR(VLOOKUP($L6,$AB5:$AL27,6,FALSE),"")</f>
        <v xml:space="preserve"> x  </v>
      </c>
      <c r="R6" s="216">
        <f>IFERROR(VLOOKUP($L6,$AB5:$AL27,7,FALSE),"")</f>
        <v>12</v>
      </c>
      <c r="S6" s="216"/>
      <c r="T6" s="217" t="str">
        <f>IFERROR(VLOOKUP($L6,$AB5:$AL27,9,FALSE),"")</f>
        <v xml:space="preserve"> = </v>
      </c>
      <c r="U6" s="120"/>
      <c r="V6" s="121">
        <f>IFERROR(N6*P6*R6,"")</f>
        <v>27168000</v>
      </c>
      <c r="W6" s="121"/>
      <c r="X6" s="121"/>
      <c r="Y6" s="121"/>
      <c r="Z6" s="97">
        <f>IF(AA6="","",SUBTOTAL(2,$AA$6:AA6))</f>
        <v>1</v>
      </c>
      <c r="AA6" s="908">
        <f>IF(AF6=0,"",IF(데이터입력!$X$5=TRUE,1,""))</f>
        <v>1</v>
      </c>
      <c r="AB6" s="97" t="s">
        <v>383</v>
      </c>
      <c r="AC6" s="122">
        <v>0.2</v>
      </c>
      <c r="AD6" s="123">
        <f>IF(OR(데이터입력!V7="",데이터입력!V7=0),ROUND(데이터입력!T7*AC6,-3),ROUND(데이터입력!T7*데이터입력!V7*AC6,-3))</f>
        <v>566000</v>
      </c>
      <c r="AE6" s="97" t="s">
        <v>384</v>
      </c>
      <c r="AF6" s="124">
        <f>데이터입력!$U$7</f>
        <v>4</v>
      </c>
      <c r="AG6" s="97" t="s">
        <v>384</v>
      </c>
      <c r="AH6" s="125">
        <f>데이터입력!$Y$8</f>
        <v>12</v>
      </c>
      <c r="AJ6" s="97" t="s">
        <v>385</v>
      </c>
      <c r="AL6" s="121">
        <f>IFERROR(AD6*AF6*AH6,0)</f>
        <v>27168000</v>
      </c>
    </row>
    <row r="7" spans="1:38">
      <c r="A7" s="116"/>
      <c r="B7" s="116"/>
      <c r="C7" s="119"/>
      <c r="D7" s="119"/>
      <c r="E7" s="119"/>
      <c r="F7" s="119"/>
      <c r="G7" s="119"/>
      <c r="H7" s="119"/>
      <c r="I7" s="119"/>
      <c r="J7" s="119"/>
      <c r="K7" s="907">
        <v>2</v>
      </c>
      <c r="L7" s="126" t="str">
        <f t="shared" ref="L7:L15" si="2">IFERROR(VLOOKUP($K7,$Z$6:$AL$27,3,FALSE),"")</f>
        <v xml:space="preserve">    - 시설(2등급)</v>
      </c>
      <c r="M7" s="212">
        <f t="shared" ref="M7:M15" si="3">IFERROR(VLOOKUP($L7,$AB6:$AL28,2,FALSE),"")</f>
        <v>0.2</v>
      </c>
      <c r="N7" s="123">
        <f t="shared" ref="N7:N15" si="4">IFERROR(VLOOKUP($L7,$AB6:$AL28,3,FALSE),"")</f>
        <v>525000</v>
      </c>
      <c r="O7" s="214" t="str">
        <f t="shared" ref="O7:O15" si="5">IFERROR(VLOOKUP($L7,$AB6:$AL28,4,FALSE),"")</f>
        <v xml:space="preserve"> x  </v>
      </c>
      <c r="P7" s="215">
        <f t="shared" ref="P7:P15" si="6">IFERROR(VLOOKUP($L7,$AB6:$AL28,5,FALSE),"")</f>
        <v>8</v>
      </c>
      <c r="Q7" s="214" t="str">
        <f t="shared" ref="Q7:Q15" si="7">IFERROR(VLOOKUP($L7,$AB6:$AL28,6,FALSE),"")</f>
        <v xml:space="preserve"> x  </v>
      </c>
      <c r="R7" s="216">
        <f t="shared" ref="R7:R15" si="8">IFERROR(VLOOKUP($L7,$AB6:$AL28,7,FALSE),"")</f>
        <v>12</v>
      </c>
      <c r="S7" s="216"/>
      <c r="T7" s="217" t="str">
        <f t="shared" ref="T7:T15" si="9">IFERROR(VLOOKUP($L7,$AB6:$AL28,9,FALSE),"")</f>
        <v xml:space="preserve"> = </v>
      </c>
      <c r="U7" s="120"/>
      <c r="V7" s="121">
        <f t="shared" ref="V7:V11" si="10">IFERROR(N7*P7*R7,"")</f>
        <v>50400000</v>
      </c>
      <c r="W7" s="121"/>
      <c r="X7" s="121"/>
      <c r="Y7" s="121"/>
      <c r="Z7" s="97">
        <f>IF(AA7="","",SUBTOTAL(2,$AA$6:AA7))</f>
        <v>2</v>
      </c>
      <c r="AA7" s="908">
        <f>IF(AF7=0,"",IF(데이터입력!$X$5=TRUE,1,""))</f>
        <v>1</v>
      </c>
      <c r="AB7" s="97" t="s">
        <v>386</v>
      </c>
      <c r="AC7" s="122">
        <v>0.2</v>
      </c>
      <c r="AD7" s="123">
        <f>IF(OR(데이터입력!V8="",데이터입력!V8=0),ROUND(데이터입력!T8*AC7,-3),ROUND(데이터입력!T8*데이터입력!V8*AC7,-3))</f>
        <v>525000</v>
      </c>
      <c r="AE7" s="97" t="s">
        <v>384</v>
      </c>
      <c r="AF7" s="124">
        <f>데이터입력!$U$8</f>
        <v>8</v>
      </c>
      <c r="AG7" s="97" t="s">
        <v>384</v>
      </c>
      <c r="AH7" s="125">
        <f>데이터입력!$Y$8</f>
        <v>12</v>
      </c>
      <c r="AJ7" s="97" t="s">
        <v>385</v>
      </c>
      <c r="AL7" s="121">
        <f t="shared" ref="AL7:AL27" si="11">IFERROR(AD7*AF7*AH7,0)</f>
        <v>50400000</v>
      </c>
    </row>
    <row r="8" spans="1:38">
      <c r="A8" s="116"/>
      <c r="B8" s="116"/>
      <c r="C8" s="119"/>
      <c r="D8" s="119"/>
      <c r="E8" s="119"/>
      <c r="F8" s="119"/>
      <c r="G8" s="119"/>
      <c r="H8" s="119"/>
      <c r="I8" s="119"/>
      <c r="J8" s="119"/>
      <c r="K8" s="907">
        <v>3</v>
      </c>
      <c r="L8" s="126" t="str">
        <f t="shared" si="2"/>
        <v xml:space="preserve">    - 시설(3등급)</v>
      </c>
      <c r="M8" s="212">
        <f t="shared" si="3"/>
        <v>0.2</v>
      </c>
      <c r="N8" s="123">
        <f t="shared" si="4"/>
        <v>496000</v>
      </c>
      <c r="O8" s="214" t="str">
        <f t="shared" si="5"/>
        <v xml:space="preserve"> x  </v>
      </c>
      <c r="P8" s="215">
        <f t="shared" si="6"/>
        <v>21</v>
      </c>
      <c r="Q8" s="214" t="str">
        <f t="shared" si="7"/>
        <v xml:space="preserve"> x  </v>
      </c>
      <c r="R8" s="216">
        <f t="shared" si="8"/>
        <v>12</v>
      </c>
      <c r="S8" s="216"/>
      <c r="T8" s="217" t="str">
        <f t="shared" si="9"/>
        <v xml:space="preserve"> = </v>
      </c>
      <c r="U8" s="120"/>
      <c r="V8" s="121">
        <f t="shared" si="10"/>
        <v>124992000</v>
      </c>
      <c r="W8" s="121"/>
      <c r="X8" s="121"/>
      <c r="Y8" s="121"/>
      <c r="Z8" s="97">
        <f>IF(AA8="","",SUBTOTAL(2,$AA$6:AA8))</f>
        <v>3</v>
      </c>
      <c r="AA8" s="908">
        <f>IF(AF8=0,"",IF(데이터입력!$X$5=TRUE,1,""))</f>
        <v>1</v>
      </c>
      <c r="AB8" s="97" t="s">
        <v>387</v>
      </c>
      <c r="AC8" s="122">
        <v>0.2</v>
      </c>
      <c r="AD8" s="123">
        <f>IF(OR(데이터입력!V9="",데이터입력!V9=0),ROUND(데이터입력!T9*AC8,-3),ROUND(데이터입력!T9*데이터입력!V9*AC8,-3))</f>
        <v>496000</v>
      </c>
      <c r="AE8" s="97" t="s">
        <v>384</v>
      </c>
      <c r="AF8" s="124">
        <f>데이터입력!$U$9</f>
        <v>21</v>
      </c>
      <c r="AG8" s="97" t="s">
        <v>384</v>
      </c>
      <c r="AH8" s="125">
        <f>데이터입력!$Y$8</f>
        <v>12</v>
      </c>
      <c r="AJ8" s="97" t="s">
        <v>385</v>
      </c>
      <c r="AL8" s="121">
        <f t="shared" si="11"/>
        <v>124992000</v>
      </c>
    </row>
    <row r="9" spans="1:38">
      <c r="A9" s="116"/>
      <c r="B9" s="116"/>
      <c r="C9" s="119"/>
      <c r="D9" s="119"/>
      <c r="E9" s="119"/>
      <c r="F9" s="119"/>
      <c r="G9" s="119"/>
      <c r="H9" s="119"/>
      <c r="I9" s="119"/>
      <c r="J9" s="119"/>
      <c r="K9" s="907">
        <v>4</v>
      </c>
      <c r="L9" s="126" t="str">
        <f t="shared" si="2"/>
        <v/>
      </c>
      <c r="M9" s="212" t="str">
        <f t="shared" si="3"/>
        <v/>
      </c>
      <c r="N9" s="123" t="str">
        <f t="shared" si="4"/>
        <v/>
      </c>
      <c r="O9" s="214" t="str">
        <f t="shared" si="5"/>
        <v/>
      </c>
      <c r="P9" s="215" t="str">
        <f t="shared" si="6"/>
        <v/>
      </c>
      <c r="Q9" s="214" t="str">
        <f t="shared" si="7"/>
        <v/>
      </c>
      <c r="R9" s="216" t="str">
        <f t="shared" si="8"/>
        <v/>
      </c>
      <c r="S9" s="216"/>
      <c r="T9" s="217" t="str">
        <f t="shared" si="9"/>
        <v/>
      </c>
      <c r="U9" s="120"/>
      <c r="V9" s="121" t="str">
        <f t="shared" si="10"/>
        <v/>
      </c>
      <c r="W9" s="121"/>
      <c r="X9" s="121"/>
      <c r="Y9" s="121"/>
      <c r="Z9" s="97" t="str">
        <f>IF(AA9="","",SUBTOTAL(2,$AA$6:AA9))</f>
        <v/>
      </c>
      <c r="AA9" s="908" t="str">
        <f>IF(AF9=0,"",IF(데이터입력!$Y$5=TRUE,1,""))</f>
        <v/>
      </c>
      <c r="AB9" s="97" t="s">
        <v>388</v>
      </c>
      <c r="AC9" s="122">
        <v>0.2</v>
      </c>
      <c r="AD9" s="123">
        <f>IF(OR(데이터입력!V10="",데이터입력!V10=0),ROUND(데이터입력!T10*AC9,-3),ROUND(데이터입력!T10*데이터입력!V10*AC9,-3))</f>
        <v>454000</v>
      </c>
      <c r="AE9" s="97" t="s">
        <v>384</v>
      </c>
      <c r="AF9" s="124">
        <f>데이터입력!$U$10</f>
        <v>0</v>
      </c>
      <c r="AG9" s="97" t="s">
        <v>384</v>
      </c>
      <c r="AH9" s="125">
        <f>데이터입력!$Y$8</f>
        <v>12</v>
      </c>
      <c r="AJ9" s="97" t="s">
        <v>385</v>
      </c>
      <c r="AL9" s="121">
        <f t="shared" si="11"/>
        <v>0</v>
      </c>
    </row>
    <row r="10" spans="1:38">
      <c r="A10" s="116"/>
      <c r="B10" s="116"/>
      <c r="C10" s="119"/>
      <c r="D10" s="119"/>
      <c r="E10" s="119"/>
      <c r="F10" s="119"/>
      <c r="G10" s="119"/>
      <c r="H10" s="119"/>
      <c r="I10" s="119"/>
      <c r="J10" s="119"/>
      <c r="K10" s="907">
        <v>5</v>
      </c>
      <c r="L10" s="126" t="str">
        <f t="shared" si="2"/>
        <v/>
      </c>
      <c r="M10" s="212" t="str">
        <f t="shared" si="3"/>
        <v/>
      </c>
      <c r="N10" s="123" t="str">
        <f t="shared" si="4"/>
        <v/>
      </c>
      <c r="O10" s="214" t="str">
        <f t="shared" si="5"/>
        <v/>
      </c>
      <c r="P10" s="215" t="str">
        <f t="shared" si="6"/>
        <v/>
      </c>
      <c r="Q10" s="214" t="str">
        <f t="shared" si="7"/>
        <v/>
      </c>
      <c r="R10" s="216" t="str">
        <f t="shared" si="8"/>
        <v/>
      </c>
      <c r="S10" s="216"/>
      <c r="T10" s="217" t="str">
        <f t="shared" si="9"/>
        <v/>
      </c>
      <c r="U10" s="120"/>
      <c r="V10" s="121" t="str">
        <f t="shared" si="10"/>
        <v/>
      </c>
      <c r="W10" s="121"/>
      <c r="X10" s="121"/>
      <c r="Y10" s="121"/>
      <c r="Z10" s="97" t="str">
        <f>IF(AA10="","",SUBTOTAL(2,$AA$6:AA10))</f>
        <v/>
      </c>
      <c r="AA10" s="908" t="str">
        <f>IF(AF10=0,"",IF(데이터입력!$Y$5=TRUE,1,""))</f>
        <v/>
      </c>
      <c r="AB10" s="97" t="s">
        <v>389</v>
      </c>
      <c r="AC10" s="122">
        <v>0.2</v>
      </c>
      <c r="AD10" s="123">
        <f>IF(OR(데이터입력!V11="",데이터입력!V11=0),ROUND(데이터입력!T11*AC10,-3),ROUND(데이터입력!T11*데이터입력!V11*AC10,-3))</f>
        <v>421000</v>
      </c>
      <c r="AE10" s="97" t="s">
        <v>384</v>
      </c>
      <c r="AF10" s="124">
        <f>데이터입력!$U$11</f>
        <v>0</v>
      </c>
      <c r="AG10" s="97" t="s">
        <v>384</v>
      </c>
      <c r="AH10" s="125">
        <f>데이터입력!$Y$8</f>
        <v>12</v>
      </c>
      <c r="AJ10" s="97" t="s">
        <v>385</v>
      </c>
      <c r="AL10" s="121">
        <f t="shared" si="11"/>
        <v>0</v>
      </c>
    </row>
    <row r="11" spans="1:38">
      <c r="A11" s="116"/>
      <c r="B11" s="116"/>
      <c r="C11" s="119"/>
      <c r="D11" s="119"/>
      <c r="E11" s="119"/>
      <c r="F11" s="119"/>
      <c r="G11" s="119"/>
      <c r="H11" s="119"/>
      <c r="I11" s="119"/>
      <c r="J11" s="119"/>
      <c r="K11" s="907">
        <v>6</v>
      </c>
      <c r="L11" s="126" t="str">
        <f t="shared" si="2"/>
        <v/>
      </c>
      <c r="M11" s="212" t="str">
        <f t="shared" si="3"/>
        <v/>
      </c>
      <c r="N11" s="123" t="str">
        <f t="shared" si="4"/>
        <v/>
      </c>
      <c r="O11" s="214" t="str">
        <f t="shared" si="5"/>
        <v/>
      </c>
      <c r="P11" s="215" t="str">
        <f t="shared" si="6"/>
        <v/>
      </c>
      <c r="Q11" s="214" t="str">
        <f t="shared" si="7"/>
        <v/>
      </c>
      <c r="R11" s="216" t="str">
        <f t="shared" si="8"/>
        <v/>
      </c>
      <c r="S11" s="216"/>
      <c r="T11" s="217" t="str">
        <f t="shared" si="9"/>
        <v/>
      </c>
      <c r="U11" s="120"/>
      <c r="V11" s="121" t="str">
        <f t="shared" si="10"/>
        <v/>
      </c>
      <c r="W11" s="121"/>
      <c r="X11" s="121"/>
      <c r="Y11" s="121"/>
      <c r="Z11" s="97" t="str">
        <f>IF(AA11="","",SUBTOTAL(2,$AA$6:AA11))</f>
        <v/>
      </c>
      <c r="AA11" s="908" t="str">
        <f>IF(AF11=0,"",IF(데이터입력!$Y$5=TRUE,1,""))</f>
        <v/>
      </c>
      <c r="AB11" s="97" t="s">
        <v>390</v>
      </c>
      <c r="AC11" s="122">
        <v>0.2</v>
      </c>
      <c r="AD11" s="123">
        <f>IF(OR(데이터입력!V12="",데이터입력!V12=0),ROUND(데이터입력!T12*AC11,-3),ROUND(데이터입력!T12*데이터입력!V12*AC11,-3))</f>
        <v>388000</v>
      </c>
      <c r="AE11" s="97" t="s">
        <v>384</v>
      </c>
      <c r="AF11" s="124">
        <f>데이터입력!$U$12</f>
        <v>0</v>
      </c>
      <c r="AG11" s="97" t="s">
        <v>384</v>
      </c>
      <c r="AH11" s="125">
        <f>데이터입력!$Y$8</f>
        <v>12</v>
      </c>
      <c r="AJ11" s="97" t="s">
        <v>385</v>
      </c>
      <c r="AL11" s="121">
        <f t="shared" si="11"/>
        <v>0</v>
      </c>
    </row>
    <row r="12" spans="1:38" hidden="1">
      <c r="A12" s="116"/>
      <c r="B12" s="116"/>
      <c r="C12" s="119"/>
      <c r="D12" s="119"/>
      <c r="E12" s="119"/>
      <c r="F12" s="119"/>
      <c r="G12" s="119"/>
      <c r="H12" s="119"/>
      <c r="I12" s="119"/>
      <c r="J12" s="119"/>
      <c r="K12" s="907">
        <v>7</v>
      </c>
      <c r="L12" s="126" t="str">
        <f t="shared" si="2"/>
        <v/>
      </c>
      <c r="M12" s="212" t="str">
        <f t="shared" si="3"/>
        <v/>
      </c>
      <c r="N12" s="123" t="str">
        <f t="shared" si="4"/>
        <v/>
      </c>
      <c r="O12" s="214" t="str">
        <f t="shared" si="5"/>
        <v/>
      </c>
      <c r="P12" s="215" t="str">
        <f t="shared" si="6"/>
        <v/>
      </c>
      <c r="Q12" s="214" t="str">
        <f t="shared" si="7"/>
        <v/>
      </c>
      <c r="R12" s="216" t="str">
        <f t="shared" si="8"/>
        <v/>
      </c>
      <c r="S12" s="216"/>
      <c r="T12" s="217" t="str">
        <f t="shared" si="9"/>
        <v/>
      </c>
      <c r="U12" s="120"/>
      <c r="V12" s="121"/>
      <c r="W12" s="121"/>
      <c r="X12" s="121"/>
      <c r="Y12" s="121"/>
      <c r="Z12" s="97" t="str">
        <f>IF(AA12="","",SUBTOTAL(2,$AA$6:AA12))</f>
        <v/>
      </c>
      <c r="AA12" s="908" t="str">
        <f>IF(AF12=0,"",IF(데이터입력!$Z$5=TRUE,1,""))</f>
        <v/>
      </c>
      <c r="AB12" s="97" t="s">
        <v>484</v>
      </c>
      <c r="AC12" s="122">
        <v>0.15</v>
      </c>
      <c r="AD12" s="123">
        <f>IF(OR(데이터입력!V13="",데이터입력!V13=0),ROUND(데이터입력!T13*AC12,-3),ROUND(데이터입력!T13*데이터입력!V13*AC12,-3))</f>
        <v>220000</v>
      </c>
      <c r="AE12" s="97" t="s">
        <v>384</v>
      </c>
      <c r="AF12" s="124">
        <f>데이터입력!$U$13</f>
        <v>0</v>
      </c>
      <c r="AG12" s="97" t="s">
        <v>384</v>
      </c>
      <c r="AH12" s="125">
        <f>데이터입력!$Y$8</f>
        <v>12</v>
      </c>
      <c r="AJ12" s="97" t="s">
        <v>385</v>
      </c>
      <c r="AL12" s="121">
        <f t="shared" si="11"/>
        <v>0</v>
      </c>
    </row>
    <row r="13" spans="1:38" hidden="1">
      <c r="A13" s="116"/>
      <c r="B13" s="116"/>
      <c r="C13" s="119"/>
      <c r="D13" s="119"/>
      <c r="E13" s="119"/>
      <c r="F13" s="119"/>
      <c r="G13" s="119"/>
      <c r="H13" s="119"/>
      <c r="I13" s="119"/>
      <c r="J13" s="119"/>
      <c r="K13" s="907">
        <v>8</v>
      </c>
      <c r="L13" s="126" t="str">
        <f t="shared" si="2"/>
        <v/>
      </c>
      <c r="M13" s="212" t="str">
        <f t="shared" si="3"/>
        <v/>
      </c>
      <c r="N13" s="123" t="str">
        <f t="shared" si="4"/>
        <v/>
      </c>
      <c r="O13" s="214" t="str">
        <f t="shared" si="5"/>
        <v/>
      </c>
      <c r="P13" s="215" t="str">
        <f t="shared" si="6"/>
        <v/>
      </c>
      <c r="Q13" s="214" t="str">
        <f t="shared" si="7"/>
        <v/>
      </c>
      <c r="R13" s="216" t="str">
        <f t="shared" si="8"/>
        <v/>
      </c>
      <c r="S13" s="216"/>
      <c r="T13" s="217" t="str">
        <f t="shared" si="9"/>
        <v/>
      </c>
      <c r="U13" s="120"/>
      <c r="V13" s="121"/>
      <c r="W13" s="121"/>
      <c r="X13" s="121"/>
      <c r="Y13" s="121"/>
      <c r="Z13" s="97" t="str">
        <f>IF(AA13="","",SUBTOTAL(2,$AA$6:AA13))</f>
        <v/>
      </c>
      <c r="AA13" s="908" t="str">
        <f>IF(AF13=0,"",IF(데이터입력!$Z$5=TRUE,1,""))</f>
        <v/>
      </c>
      <c r="AB13" s="97" t="s">
        <v>485</v>
      </c>
      <c r="AC13" s="122">
        <v>0.15</v>
      </c>
      <c r="AD13" s="123">
        <f>IF(OR(데이터입력!V14="",데이터입력!V14=0),ROUND(데이터입력!T14*AC13,-3),ROUND(데이터입력!T14*데이터입력!V14*AC13,-3))</f>
        <v>203000</v>
      </c>
      <c r="AE13" s="97" t="s">
        <v>384</v>
      </c>
      <c r="AF13" s="124">
        <f>데이터입력!$U$14</f>
        <v>0</v>
      </c>
      <c r="AG13" s="97" t="s">
        <v>384</v>
      </c>
      <c r="AH13" s="125">
        <f>데이터입력!$Y$8</f>
        <v>12</v>
      </c>
      <c r="AJ13" s="97" t="s">
        <v>385</v>
      </c>
      <c r="AL13" s="121">
        <f t="shared" si="11"/>
        <v>0</v>
      </c>
    </row>
    <row r="14" spans="1:38" hidden="1">
      <c r="A14" s="116"/>
      <c r="B14" s="116"/>
      <c r="C14" s="119"/>
      <c r="D14" s="119"/>
      <c r="E14" s="119"/>
      <c r="F14" s="119"/>
      <c r="G14" s="119"/>
      <c r="H14" s="119"/>
      <c r="I14" s="119"/>
      <c r="J14" s="119"/>
      <c r="K14" s="907">
        <v>9</v>
      </c>
      <c r="L14" s="126" t="str">
        <f t="shared" si="2"/>
        <v/>
      </c>
      <c r="M14" s="212" t="str">
        <f t="shared" si="3"/>
        <v/>
      </c>
      <c r="N14" s="123" t="str">
        <f t="shared" si="4"/>
        <v/>
      </c>
      <c r="O14" s="214" t="str">
        <f t="shared" si="5"/>
        <v/>
      </c>
      <c r="P14" s="215" t="str">
        <f t="shared" si="6"/>
        <v/>
      </c>
      <c r="Q14" s="214" t="str">
        <f t="shared" si="7"/>
        <v/>
      </c>
      <c r="R14" s="216" t="str">
        <f t="shared" si="8"/>
        <v/>
      </c>
      <c r="S14" s="216"/>
      <c r="T14" s="217" t="str">
        <f t="shared" si="9"/>
        <v/>
      </c>
      <c r="U14" s="120"/>
      <c r="V14" s="121"/>
      <c r="W14" s="121"/>
      <c r="X14" s="121"/>
      <c r="Y14" s="121"/>
      <c r="Z14" s="97" t="str">
        <f>IF(AA14="","",SUBTOTAL(2,$AA$6:AA14))</f>
        <v/>
      </c>
      <c r="AA14" s="908" t="str">
        <f>IF(AF14=0,"",IF(데이터입력!$Z$5=TRUE,1,""))</f>
        <v/>
      </c>
      <c r="AB14" s="97" t="s">
        <v>391</v>
      </c>
      <c r="AC14" s="122">
        <v>0.15</v>
      </c>
      <c r="AD14" s="123">
        <f>IF(OR(데이터입력!V15="",데이터입력!V15=0),ROUND(데이터입력!T15*AC14,-3),ROUND(데이터입력!T15*데이터입력!V15*AC14,-3))</f>
        <v>188000</v>
      </c>
      <c r="AE14" s="97" t="s">
        <v>384</v>
      </c>
      <c r="AF14" s="124">
        <f>데이터입력!$U$15</f>
        <v>0</v>
      </c>
      <c r="AG14" s="97" t="s">
        <v>384</v>
      </c>
      <c r="AH14" s="125">
        <f>데이터입력!$Y$8</f>
        <v>12</v>
      </c>
      <c r="AJ14" s="97" t="s">
        <v>385</v>
      </c>
      <c r="AL14" s="121">
        <f t="shared" si="11"/>
        <v>0</v>
      </c>
    </row>
    <row r="15" spans="1:38" hidden="1">
      <c r="A15" s="116"/>
      <c r="B15" s="116"/>
      <c r="C15" s="119"/>
      <c r="D15" s="119"/>
      <c r="E15" s="119"/>
      <c r="F15" s="119"/>
      <c r="G15" s="119"/>
      <c r="H15" s="119"/>
      <c r="I15" s="119"/>
      <c r="J15" s="119"/>
      <c r="K15" s="907">
        <v>10</v>
      </c>
      <c r="L15" s="126" t="str">
        <f t="shared" si="2"/>
        <v/>
      </c>
      <c r="M15" s="212" t="str">
        <f t="shared" si="3"/>
        <v/>
      </c>
      <c r="N15" s="123" t="str">
        <f t="shared" si="4"/>
        <v/>
      </c>
      <c r="O15" s="214" t="str">
        <f t="shared" si="5"/>
        <v/>
      </c>
      <c r="P15" s="215" t="str">
        <f t="shared" si="6"/>
        <v/>
      </c>
      <c r="Q15" s="214" t="str">
        <f t="shared" si="7"/>
        <v/>
      </c>
      <c r="R15" s="216" t="str">
        <f t="shared" si="8"/>
        <v/>
      </c>
      <c r="S15" s="216"/>
      <c r="T15" s="217" t="str">
        <f t="shared" si="9"/>
        <v/>
      </c>
      <c r="U15" s="120"/>
      <c r="V15" s="121"/>
      <c r="W15" s="121"/>
      <c r="X15" s="121"/>
      <c r="Y15" s="121"/>
      <c r="Z15" s="97" t="str">
        <f>IF(AA15="","",SUBTOTAL(2,$AA$6:AA15))</f>
        <v/>
      </c>
      <c r="AA15" s="908" t="str">
        <f>IF(AF15=0,"",IF(데이터입력!$Z$5=TRUE,1,""))</f>
        <v/>
      </c>
      <c r="AB15" s="97" t="s">
        <v>392</v>
      </c>
      <c r="AC15" s="122">
        <v>0.15</v>
      </c>
      <c r="AD15" s="123">
        <f>IF(OR(데이터입력!V16="",데이터입력!V16=0),ROUND(데이터입력!T16*AC15,-3),ROUND(데이터입력!T16*데이터입력!V16*AC15,-3))</f>
        <v>183000</v>
      </c>
      <c r="AE15" s="97" t="s">
        <v>384</v>
      </c>
      <c r="AF15" s="124">
        <f>데이터입력!$U$16</f>
        <v>0</v>
      </c>
      <c r="AG15" s="97" t="s">
        <v>384</v>
      </c>
      <c r="AH15" s="125">
        <f>데이터입력!$Y$8</f>
        <v>12</v>
      </c>
      <c r="AJ15" s="97" t="s">
        <v>385</v>
      </c>
      <c r="AL15" s="121">
        <f t="shared" si="11"/>
        <v>0</v>
      </c>
    </row>
    <row r="16" spans="1:38" hidden="1">
      <c r="A16" s="116"/>
      <c r="B16" s="116"/>
      <c r="C16" s="119"/>
      <c r="D16" s="119"/>
      <c r="E16" s="119"/>
      <c r="F16" s="119"/>
      <c r="G16" s="119"/>
      <c r="H16" s="119"/>
      <c r="I16" s="119"/>
      <c r="J16" s="119"/>
      <c r="K16" s="119"/>
      <c r="L16" s="210"/>
      <c r="M16" s="218"/>
      <c r="N16" s="127"/>
      <c r="O16" s="120"/>
      <c r="P16" s="127"/>
      <c r="Q16" s="120"/>
      <c r="R16" s="127"/>
      <c r="S16" s="120"/>
      <c r="T16" s="120"/>
      <c r="U16" s="120"/>
      <c r="V16" s="121"/>
      <c r="W16" s="121"/>
      <c r="X16" s="121"/>
      <c r="Y16" s="121"/>
      <c r="Z16" s="97" t="str">
        <f>IF(AA16="","",SUBTOTAL(2,$AA$6:AA16))</f>
        <v/>
      </c>
      <c r="AA16" s="908" t="str">
        <f>IF(AF16=0,"",IF(데이터입력!$Z$5=TRUE,1,""))</f>
        <v/>
      </c>
      <c r="AB16" s="97" t="s">
        <v>393</v>
      </c>
      <c r="AC16" s="122">
        <v>0.15</v>
      </c>
      <c r="AD16" s="123">
        <f>IF(OR(데이터입력!V17="",데이터입력!V17=0),ROUND(데이터입력!T17*AC16,-3),ROUND(데이터입력!T17*데이터입력!V17*AC16,-3))</f>
        <v>178000</v>
      </c>
      <c r="AE16" s="97" t="s">
        <v>384</v>
      </c>
      <c r="AF16" s="124">
        <f>데이터입력!$U$17</f>
        <v>0</v>
      </c>
      <c r="AG16" s="97" t="s">
        <v>384</v>
      </c>
      <c r="AH16" s="125">
        <f>데이터입력!$Y$8</f>
        <v>12</v>
      </c>
      <c r="AJ16" s="97" t="s">
        <v>385</v>
      </c>
      <c r="AL16" s="121">
        <f t="shared" si="11"/>
        <v>0</v>
      </c>
    </row>
    <row r="17" spans="1:38" hidden="1">
      <c r="A17" s="116"/>
      <c r="B17" s="116"/>
      <c r="C17" s="119"/>
      <c r="D17" s="119"/>
      <c r="E17" s="119"/>
      <c r="F17" s="119"/>
      <c r="G17" s="119"/>
      <c r="H17" s="119"/>
      <c r="I17" s="119"/>
      <c r="J17" s="119"/>
      <c r="K17" s="119"/>
      <c r="L17" s="210"/>
      <c r="M17" s="218"/>
      <c r="N17" s="127"/>
      <c r="O17" s="120"/>
      <c r="P17" s="127"/>
      <c r="Q17" s="120"/>
      <c r="R17" s="127"/>
      <c r="S17" s="120"/>
      <c r="T17" s="120"/>
      <c r="U17" s="120"/>
      <c r="V17" s="121"/>
      <c r="W17" s="121"/>
      <c r="X17" s="121"/>
      <c r="Y17" s="121"/>
      <c r="Z17" s="97" t="str">
        <f>IF(AA17="","",SUBTOTAL(2,$AA$6:AA17))</f>
        <v/>
      </c>
      <c r="AA17" s="908" t="str">
        <f>IF(AF17=0,"",IF(데이터입력!$Z$5=TRUE,1,""))</f>
        <v/>
      </c>
      <c r="AB17" s="97" t="s">
        <v>486</v>
      </c>
      <c r="AC17" s="122">
        <v>0.15</v>
      </c>
      <c r="AD17" s="123">
        <f>IF(OR(데이터입력!V18="",데이터입력!V18=0),ROUND(데이터입력!T18*AC17,-3),ROUND(데이터입력!T18*데이터입력!V18*AC17,-3))</f>
        <v>178000</v>
      </c>
      <c r="AE17" s="97" t="s">
        <v>384</v>
      </c>
      <c r="AF17" s="124">
        <f>데이터입력!$U$18</f>
        <v>0</v>
      </c>
      <c r="AG17" s="97" t="s">
        <v>384</v>
      </c>
      <c r="AH17" s="125">
        <f>데이터입력!$Y$8</f>
        <v>12</v>
      </c>
      <c r="AJ17" s="97" t="s">
        <v>385</v>
      </c>
      <c r="AL17" s="121">
        <f t="shared" si="11"/>
        <v>0</v>
      </c>
    </row>
    <row r="18" spans="1:38" hidden="1">
      <c r="A18" s="116"/>
      <c r="B18" s="116"/>
      <c r="C18" s="119"/>
      <c r="D18" s="119"/>
      <c r="E18" s="119"/>
      <c r="F18" s="119"/>
      <c r="G18" s="119"/>
      <c r="H18" s="119"/>
      <c r="I18" s="119"/>
      <c r="J18" s="119"/>
      <c r="K18" s="204"/>
      <c r="L18" s="126"/>
      <c r="M18" s="218"/>
      <c r="N18" s="127"/>
      <c r="O18" s="120"/>
      <c r="P18" s="127"/>
      <c r="Q18" s="120"/>
      <c r="R18" s="127"/>
      <c r="S18" s="120"/>
      <c r="T18" s="120"/>
      <c r="U18" s="120"/>
      <c r="V18" s="121"/>
      <c r="W18" s="121"/>
      <c r="X18" s="121"/>
      <c r="Y18" s="121"/>
      <c r="Z18" s="97" t="str">
        <f>IF(AA18="","",SUBTOTAL(2,$AA$6:AA18))</f>
        <v/>
      </c>
      <c r="AA18" s="908" t="str">
        <f>IF(AF18=0,"",IF(데이터입력!$AA$5=TRUE,1,""))</f>
        <v/>
      </c>
      <c r="AB18" s="97" t="s">
        <v>394</v>
      </c>
      <c r="AC18" s="122">
        <v>0.15</v>
      </c>
      <c r="AD18" s="123">
        <f>IF(OR(데이터입력!V19="",데이터입력!V19=0),ROUND(데이터입력!T19*AC18,-3),ROUND(데이터입력!T19*데이터입력!V19*AC18,-3))</f>
        <v>167000</v>
      </c>
      <c r="AE18" s="97" t="s">
        <v>384</v>
      </c>
      <c r="AF18" s="124">
        <f>데이터입력!$U$19</f>
        <v>0</v>
      </c>
      <c r="AG18" s="97" t="s">
        <v>384</v>
      </c>
      <c r="AH18" s="125">
        <f>데이터입력!$Y$8</f>
        <v>12</v>
      </c>
      <c r="AJ18" s="97" t="s">
        <v>385</v>
      </c>
      <c r="AL18" s="121">
        <f t="shared" si="11"/>
        <v>0</v>
      </c>
    </row>
    <row r="19" spans="1:38" hidden="1">
      <c r="A19" s="116"/>
      <c r="B19" s="116"/>
      <c r="C19" s="119"/>
      <c r="D19" s="119"/>
      <c r="E19" s="119"/>
      <c r="F19" s="119"/>
      <c r="G19" s="119"/>
      <c r="H19" s="119"/>
      <c r="I19" s="119"/>
      <c r="J19" s="119"/>
      <c r="K19" s="204"/>
      <c r="L19" s="126"/>
      <c r="M19" s="218"/>
      <c r="N19" s="127"/>
      <c r="O19" s="120"/>
      <c r="P19" s="127"/>
      <c r="Q19" s="120"/>
      <c r="R19" s="127"/>
      <c r="S19" s="120"/>
      <c r="T19" s="120"/>
      <c r="U19" s="120"/>
      <c r="V19" s="121"/>
      <c r="W19" s="121"/>
      <c r="X19" s="121"/>
      <c r="Y19" s="121"/>
      <c r="Z19" s="97" t="str">
        <f>IF(AA19="","",SUBTOTAL(2,$AA$6:AA19))</f>
        <v/>
      </c>
      <c r="AA19" s="908" t="str">
        <f>IF(AF19=0,"",IF(데이터입력!$AA$5=TRUE,1,""))</f>
        <v/>
      </c>
      <c r="AB19" s="97" t="s">
        <v>395</v>
      </c>
      <c r="AC19" s="122">
        <v>0.15</v>
      </c>
      <c r="AD19" s="123">
        <f>IF(OR(데이터입력!V20="",데이터입력!V20=0),ROUND(데이터입력!T20*AC19,-3),ROUND(데이터입력!T20*데이터입력!V20*AC19,-3))</f>
        <v>154000</v>
      </c>
      <c r="AE19" s="97" t="s">
        <v>384</v>
      </c>
      <c r="AF19" s="124">
        <f>데이터입력!$U$20</f>
        <v>0</v>
      </c>
      <c r="AG19" s="97" t="s">
        <v>384</v>
      </c>
      <c r="AH19" s="125">
        <f>데이터입력!$Y$8</f>
        <v>12</v>
      </c>
      <c r="AJ19" s="97" t="s">
        <v>385</v>
      </c>
      <c r="AL19" s="121">
        <f t="shared" si="11"/>
        <v>0</v>
      </c>
    </row>
    <row r="20" spans="1:38" hidden="1">
      <c r="A20" s="116"/>
      <c r="B20" s="116"/>
      <c r="C20" s="119"/>
      <c r="D20" s="119"/>
      <c r="E20" s="119"/>
      <c r="F20" s="119"/>
      <c r="G20" s="119"/>
      <c r="H20" s="119"/>
      <c r="I20" s="119"/>
      <c r="J20" s="119"/>
      <c r="K20" s="204"/>
      <c r="L20" s="126"/>
      <c r="M20" s="218"/>
      <c r="N20" s="127"/>
      <c r="O20" s="120"/>
      <c r="P20" s="127"/>
      <c r="Q20" s="120"/>
      <c r="R20" s="127"/>
      <c r="S20" s="120"/>
      <c r="T20" s="120"/>
      <c r="U20" s="120"/>
      <c r="V20" s="121"/>
      <c r="W20" s="121"/>
      <c r="X20" s="121"/>
      <c r="Y20" s="121"/>
      <c r="Z20" s="97" t="str">
        <f>IF(AA20="","",SUBTOTAL(2,$AA$6:AA20))</f>
        <v/>
      </c>
      <c r="AA20" s="908" t="str">
        <f>IF(AF20=0,"",IF(데이터입력!$AA$5=TRUE,1,""))</f>
        <v/>
      </c>
      <c r="AB20" s="97" t="s">
        <v>396</v>
      </c>
      <c r="AC20" s="122">
        <v>0.15</v>
      </c>
      <c r="AD20" s="123">
        <f>IF(OR(데이터입력!V21="",데이터입력!V21=0),ROUND(데이터입력!T21*AC20,-3),ROUND(데이터입력!T21*데이터입력!V21*AC20,-3))</f>
        <v>143000</v>
      </c>
      <c r="AE20" s="97" t="s">
        <v>384</v>
      </c>
      <c r="AF20" s="124">
        <f>데이터입력!$U$21</f>
        <v>0</v>
      </c>
      <c r="AG20" s="97" t="s">
        <v>384</v>
      </c>
      <c r="AH20" s="125">
        <f>데이터입력!$Y$8</f>
        <v>12</v>
      </c>
      <c r="AJ20" s="97" t="s">
        <v>385</v>
      </c>
      <c r="AL20" s="121">
        <f t="shared" si="11"/>
        <v>0</v>
      </c>
    </row>
    <row r="21" spans="1:38" hidden="1">
      <c r="A21" s="116"/>
      <c r="B21" s="116"/>
      <c r="C21" s="119"/>
      <c r="D21" s="119"/>
      <c r="E21" s="119"/>
      <c r="F21" s="119"/>
      <c r="G21" s="119"/>
      <c r="H21" s="119"/>
      <c r="I21" s="119"/>
      <c r="J21" s="119"/>
      <c r="K21" s="204"/>
      <c r="L21" s="126"/>
      <c r="M21" s="218"/>
      <c r="N21" s="127"/>
      <c r="O21" s="120"/>
      <c r="P21" s="127"/>
      <c r="Q21" s="120"/>
      <c r="R21" s="127"/>
      <c r="S21" s="120"/>
      <c r="T21" s="120"/>
      <c r="U21" s="120"/>
      <c r="V21" s="121"/>
      <c r="W21" s="121"/>
      <c r="X21" s="121"/>
      <c r="Y21" s="121"/>
      <c r="Z21" s="97" t="str">
        <f>IF(AA21="","",SUBTOTAL(2,$AA$6:AA21))</f>
        <v/>
      </c>
      <c r="AA21" s="908" t="str">
        <f>IF(AF21=0,"",IF(데이터입력!$AB$5=TRUE,1,""))</f>
        <v/>
      </c>
      <c r="AB21" s="97" t="s">
        <v>397</v>
      </c>
      <c r="AC21" s="122">
        <v>0.15</v>
      </c>
      <c r="AD21" s="123">
        <f>IF(OR(데이터입력!V22="",데이터입력!V22=0),ROUND(데이터입력!T22*AC21,-2),ROUND(데이터입력!T22*데이터입력!V22*AC21,-2))</f>
        <v>179600</v>
      </c>
      <c r="AE21" s="97" t="s">
        <v>384</v>
      </c>
      <c r="AF21" s="124">
        <f>데이터입력!$U$22</f>
        <v>0</v>
      </c>
      <c r="AG21" s="97" t="s">
        <v>384</v>
      </c>
      <c r="AH21" s="125">
        <f>데이터입력!$Y$8</f>
        <v>12</v>
      </c>
      <c r="AJ21" s="97" t="s">
        <v>385</v>
      </c>
      <c r="AL21" s="121">
        <f t="shared" si="11"/>
        <v>0</v>
      </c>
    </row>
    <row r="22" spans="1:38" hidden="1">
      <c r="A22" s="116"/>
      <c r="B22" s="116"/>
      <c r="C22" s="119"/>
      <c r="D22" s="119"/>
      <c r="E22" s="119"/>
      <c r="F22" s="119"/>
      <c r="G22" s="119"/>
      <c r="H22" s="119"/>
      <c r="I22" s="119"/>
      <c r="J22" s="119"/>
      <c r="K22" s="204"/>
      <c r="L22" s="126"/>
      <c r="M22" s="218"/>
      <c r="N22" s="127"/>
      <c r="O22" s="120"/>
      <c r="P22" s="127"/>
      <c r="Q22" s="120"/>
      <c r="R22" s="127"/>
      <c r="S22" s="120"/>
      <c r="T22" s="120"/>
      <c r="U22" s="120"/>
      <c r="V22" s="121"/>
      <c r="W22" s="121"/>
      <c r="X22" s="121"/>
      <c r="Y22" s="121"/>
      <c r="Z22" s="97" t="str">
        <f>IF(AA22="","",SUBTOTAL(2,$AA$6:AA22))</f>
        <v/>
      </c>
      <c r="AA22" s="908" t="str">
        <f>IF(AF22=0,"",IF(데이터입력!$AB$5=TRUE,1,""))</f>
        <v/>
      </c>
      <c r="AB22" s="97" t="s">
        <v>399</v>
      </c>
      <c r="AC22" s="122">
        <v>0.15</v>
      </c>
      <c r="AD22" s="123">
        <f>IF(OR(데이터입력!V23="",데이터입력!V23=0),ROUND(데이터입력!T23*AC22,-2),ROUND(데이터입력!T23*데이터입력!V23*AC22,-2))</f>
        <v>107500</v>
      </c>
      <c r="AE22" s="97" t="s">
        <v>384</v>
      </c>
      <c r="AF22" s="124">
        <f>데이터입력!$U$23</f>
        <v>0</v>
      </c>
      <c r="AG22" s="97" t="s">
        <v>384</v>
      </c>
      <c r="AH22" s="125">
        <f>데이터입력!$Y$8</f>
        <v>12</v>
      </c>
      <c r="AJ22" s="97" t="s">
        <v>385</v>
      </c>
      <c r="AL22" s="121">
        <f t="shared" si="11"/>
        <v>0</v>
      </c>
    </row>
    <row r="23" spans="1:38" hidden="1">
      <c r="A23" s="116"/>
      <c r="B23" s="116"/>
      <c r="C23" s="119"/>
      <c r="D23" s="119"/>
      <c r="E23" s="119"/>
      <c r="F23" s="119"/>
      <c r="G23" s="119"/>
      <c r="H23" s="119"/>
      <c r="I23" s="119"/>
      <c r="J23" s="119"/>
      <c r="K23" s="204"/>
      <c r="L23" s="126"/>
      <c r="M23" s="218"/>
      <c r="N23" s="127"/>
      <c r="O23" s="120"/>
      <c r="P23" s="127"/>
      <c r="Q23" s="120"/>
      <c r="R23" s="127"/>
      <c r="S23" s="120"/>
      <c r="T23" s="120"/>
      <c r="U23" s="120"/>
      <c r="V23" s="121"/>
      <c r="W23" s="121"/>
      <c r="X23" s="121"/>
      <c r="Y23" s="121"/>
      <c r="Z23" s="97" t="str">
        <f>IF(AA23="","",SUBTOTAL(2,$AA$6:AA23))</f>
        <v/>
      </c>
      <c r="AA23" s="908" t="str">
        <f>IF(AF23=0,"",IF(데이터입력!$AB$5=TRUE,1,""))</f>
        <v/>
      </c>
      <c r="AB23" s="97" t="s">
        <v>398</v>
      </c>
      <c r="AC23" s="122">
        <v>0.15</v>
      </c>
      <c r="AD23" s="123">
        <f>IF(OR(데이터입력!V24="",데이터입력!V24=0),ROUND(데이터입력!T24*AC23,-2),ROUND(데이터입력!T24*데이터입력!V24*AC23,-2))</f>
        <v>79800</v>
      </c>
      <c r="AE23" s="97" t="s">
        <v>384</v>
      </c>
      <c r="AF23" s="124">
        <f>데이터입력!$U$24</f>
        <v>0</v>
      </c>
      <c r="AG23" s="97" t="s">
        <v>384</v>
      </c>
      <c r="AH23" s="125">
        <f>데이터입력!$Y$8</f>
        <v>12</v>
      </c>
      <c r="AJ23" s="97" t="s">
        <v>385</v>
      </c>
      <c r="AL23" s="121">
        <f t="shared" si="11"/>
        <v>0</v>
      </c>
    </row>
    <row r="24" spans="1:38" hidden="1">
      <c r="A24" s="116"/>
      <c r="B24" s="116"/>
      <c r="C24" s="119"/>
      <c r="D24" s="119"/>
      <c r="E24" s="119"/>
      <c r="F24" s="119"/>
      <c r="G24" s="119"/>
      <c r="H24" s="119"/>
      <c r="I24" s="119"/>
      <c r="J24" s="119"/>
      <c r="K24" s="204"/>
      <c r="L24" s="126"/>
      <c r="M24" s="218"/>
      <c r="N24" s="127"/>
      <c r="O24" s="120"/>
      <c r="P24" s="127"/>
      <c r="Q24" s="120"/>
      <c r="R24" s="127"/>
      <c r="S24" s="120"/>
      <c r="T24" s="120"/>
      <c r="U24" s="120"/>
      <c r="V24" s="121"/>
      <c r="W24" s="121"/>
      <c r="X24" s="121"/>
      <c r="Y24" s="121"/>
      <c r="Z24" s="97" t="str">
        <f>IF(AA24="","",SUBTOTAL(2,$AA$6:AA24))</f>
        <v/>
      </c>
      <c r="AA24" s="908" t="str">
        <f>IF(AF24=0,"",IF(데이터입력!$AC$5=TRUE,1,""))</f>
        <v/>
      </c>
      <c r="AB24" s="97" t="s">
        <v>400</v>
      </c>
      <c r="AC24" s="122">
        <v>0.15</v>
      </c>
      <c r="AD24" s="123">
        <f>IF(OR(데이터입력!V25="",데이터입력!V25=0),ROUND(데이터입력!T25*AC24,-2),ROUND(데이터입력!T25*데이터입력!V25*AC24,-2))</f>
        <v>13300</v>
      </c>
      <c r="AE24" s="97" t="s">
        <v>384</v>
      </c>
      <c r="AF24" s="905">
        <f>데이터입력!$U$25</f>
        <v>0</v>
      </c>
      <c r="AG24" s="97" t="s">
        <v>384</v>
      </c>
      <c r="AH24" s="125">
        <f>데이터입력!$Y$8</f>
        <v>12</v>
      </c>
      <c r="AJ24" s="97" t="s">
        <v>385</v>
      </c>
      <c r="AL24" s="121">
        <f t="shared" si="11"/>
        <v>0</v>
      </c>
    </row>
    <row r="25" spans="1:38" hidden="1">
      <c r="A25" s="116"/>
      <c r="B25" s="116"/>
      <c r="C25" s="119"/>
      <c r="D25" s="119"/>
      <c r="E25" s="119"/>
      <c r="F25" s="119"/>
      <c r="G25" s="119"/>
      <c r="H25" s="119"/>
      <c r="I25" s="119"/>
      <c r="J25" s="119"/>
      <c r="K25" s="204"/>
      <c r="L25" s="126"/>
      <c r="M25" s="218"/>
      <c r="N25" s="127"/>
      <c r="O25" s="120"/>
      <c r="P25" s="127"/>
      <c r="Q25" s="120"/>
      <c r="R25" s="127"/>
      <c r="S25" s="120"/>
      <c r="T25" s="120"/>
      <c r="U25" s="120"/>
      <c r="V25" s="121"/>
      <c r="W25" s="121"/>
      <c r="X25" s="121"/>
      <c r="Y25" s="121"/>
      <c r="Z25" s="97" t="str">
        <f>IF(AA25="","",SUBTOTAL(2,$AA$6:AA25))</f>
        <v/>
      </c>
      <c r="AA25" s="908" t="str">
        <f>IF(AF25=0,"",IF(데이터입력!$AD$5=TRUE,1,""))</f>
        <v/>
      </c>
      <c r="AB25" s="97" t="s">
        <v>401</v>
      </c>
      <c r="AC25" s="122">
        <v>0.15</v>
      </c>
      <c r="AD25" s="123">
        <f>IF(OR(데이터입력!V26="",데이터입력!V26=0),ROUND(데이터입력!T26*AC25,-2),ROUND(데이터입력!T26*데이터입력!V26*AC25,-2))</f>
        <v>7500</v>
      </c>
      <c r="AE25" s="97" t="s">
        <v>384</v>
      </c>
      <c r="AF25" s="905">
        <f>데이터입력!$U$26</f>
        <v>0</v>
      </c>
      <c r="AG25" s="97" t="s">
        <v>384</v>
      </c>
      <c r="AH25" s="125">
        <f>데이터입력!$Y$8</f>
        <v>12</v>
      </c>
      <c r="AJ25" s="97" t="s">
        <v>385</v>
      </c>
      <c r="AL25" s="121">
        <f t="shared" si="11"/>
        <v>0</v>
      </c>
    </row>
    <row r="26" spans="1:38" hidden="1">
      <c r="A26" s="116"/>
      <c r="B26" s="116"/>
      <c r="C26" s="128"/>
      <c r="D26" s="128"/>
      <c r="E26" s="128"/>
      <c r="F26" s="128"/>
      <c r="G26" s="128"/>
      <c r="H26" s="128"/>
      <c r="I26" s="128"/>
      <c r="J26" s="128"/>
      <c r="K26" s="205"/>
      <c r="L26" s="129"/>
      <c r="M26" s="219"/>
      <c r="N26" s="220"/>
      <c r="O26" s="130"/>
      <c r="P26" s="220"/>
      <c r="Q26" s="130"/>
      <c r="R26" s="220"/>
      <c r="S26" s="130"/>
      <c r="T26" s="130"/>
      <c r="U26" s="130"/>
      <c r="V26" s="140"/>
      <c r="W26" s="140"/>
      <c r="X26" s="140"/>
      <c r="Y26" s="140"/>
      <c r="Z26" s="97" t="str">
        <f>IF(AA26="","",SUBTOTAL(2,$AA$6:AA26))</f>
        <v/>
      </c>
      <c r="AA26" s="908" t="str">
        <f>IF(AF26=0,"",IF(데이터입력!$AE$5=TRUE,1,""))</f>
        <v/>
      </c>
      <c r="AB26" s="97" t="s">
        <v>402</v>
      </c>
      <c r="AC26" s="122">
        <v>0.15</v>
      </c>
      <c r="AD26" s="123">
        <f>IF(OR(데이터입력!V27="",데이터입력!V27=0),ROUND(데이터입력!T27*AC26,-2),ROUND(데이터입력!T27*데이터입력!V27*AC26,-2))</f>
        <v>9700</v>
      </c>
      <c r="AE26" s="97" t="s">
        <v>384</v>
      </c>
      <c r="AF26" s="905">
        <f>데이터입력!$U$27</f>
        <v>0</v>
      </c>
      <c r="AG26" s="97" t="s">
        <v>384</v>
      </c>
      <c r="AH26" s="125">
        <f>데이터입력!$Y$8</f>
        <v>12</v>
      </c>
      <c r="AJ26" s="97" t="s">
        <v>385</v>
      </c>
      <c r="AL26" s="121">
        <f t="shared" si="11"/>
        <v>0</v>
      </c>
    </row>
    <row r="27" spans="1:38">
      <c r="A27" s="116"/>
      <c r="B27" s="116"/>
      <c r="C27" s="107" t="s">
        <v>7</v>
      </c>
      <c r="D27" s="107" t="s">
        <v>7</v>
      </c>
      <c r="E27" s="107">
        <v>401010301</v>
      </c>
      <c r="F27" s="108" t="s">
        <v>83</v>
      </c>
      <c r="G27" s="107" t="s">
        <v>6</v>
      </c>
      <c r="H27" s="109">
        <f>IFERROR(IF(VLOOKUP(K27,데이터입력!$C$3:$L$40,5,FALSE)&lt;1000,ROUNDUP(VLOOKUP(K27,데이터입력!$C$3:$L$40,5,FALSE)*1/1000,0),ROUND(VLOOKUP(K27,데이터입력!$C$3:$L$40,5,FALSE)*1/1000,0)),0)</f>
        <v>119180</v>
      </c>
      <c r="I27" s="109">
        <f>IFERROR(IF(F27="06",IF(V27&lt;1000,ROUNDUP((V27)*1/1000,0),ROUND((V27)*1/1000,0)),IF(F27="07",IF(W27&lt;1000,ROUNDUP((W27)*1/1000,0),ROUND((W27)*1/1000,0)),IF(F27="05",IF(X27&lt;1000,ROUNDUP((X27)*1/1000,0),ROUND((X27)*1/1000,0))))),0)</f>
        <v>119180</v>
      </c>
      <c r="J27" s="110">
        <f>I27-H27</f>
        <v>0</v>
      </c>
      <c r="K27" s="110" t="str">
        <f>D27&amp;"("&amp;G27&amp;")"</f>
        <v>식재료비수입(수익사업)</v>
      </c>
      <c r="L27" s="111" t="str">
        <f>D27</f>
        <v>식재료비수입</v>
      </c>
      <c r="M27" s="112"/>
      <c r="N27" s="113"/>
      <c r="O27" s="114"/>
      <c r="P27" s="113"/>
      <c r="Q27" s="114"/>
      <c r="R27" s="113"/>
      <c r="S27" s="114"/>
      <c r="T27" s="114"/>
      <c r="U27" s="114"/>
      <c r="V27" s="115">
        <f>SUM(V28:V29)</f>
        <v>119180160</v>
      </c>
      <c r="W27" s="115">
        <f t="shared" ref="W27:X27" si="12">SUM(W28:W29)</f>
        <v>0</v>
      </c>
      <c r="X27" s="115">
        <f t="shared" si="12"/>
        <v>0</v>
      </c>
      <c r="Y27" s="115">
        <f>SUM(V27:X27)</f>
        <v>119180160</v>
      </c>
      <c r="Z27" s="97" t="str">
        <f>IF(AA27="","",SUBTOTAL(2,$AA$6:AA27))</f>
        <v/>
      </c>
      <c r="AA27" s="908" t="str">
        <f>IF(AF27=0,"",IF(데이터입력!$AF$5=TRUE,1,""))</f>
        <v/>
      </c>
      <c r="AB27" s="97" t="s">
        <v>403</v>
      </c>
      <c r="AC27" s="585">
        <v>0.15</v>
      </c>
      <c r="AD27" s="123">
        <f>IF(OR(데이터입력!V28="",데이터입력!V28=0),ROUND(데이터입력!T28*AC27,-2),ROUND(데이터입력!T28*데이터입력!V28*AC27,-2))</f>
        <v>371800</v>
      </c>
      <c r="AE27" s="97" t="s">
        <v>384</v>
      </c>
      <c r="AF27" s="906">
        <f>데이터입력!$U$29</f>
        <v>1</v>
      </c>
      <c r="AG27" s="97" t="s">
        <v>384</v>
      </c>
      <c r="AH27" s="125">
        <f>데이터입력!$Y$8</f>
        <v>12</v>
      </c>
      <c r="AJ27" s="97" t="s">
        <v>385</v>
      </c>
      <c r="AL27" s="121">
        <f t="shared" si="11"/>
        <v>4461600</v>
      </c>
    </row>
    <row r="28" spans="1:38">
      <c r="A28" s="116"/>
      <c r="B28" s="116"/>
      <c r="C28" s="117"/>
      <c r="D28" s="117"/>
      <c r="E28" s="117"/>
      <c r="F28" s="131"/>
      <c r="G28" s="117"/>
      <c r="H28" s="132"/>
      <c r="I28" s="132"/>
      <c r="J28" s="132"/>
      <c r="K28" s="206"/>
      <c r="L28" s="126" t="str">
        <f>"    - "&amp;L27</f>
        <v xml:space="preserve">    - 식재료비수입</v>
      </c>
      <c r="M28" s="210"/>
      <c r="N28" s="123">
        <f>ROUND(데이터입력!$T$34*데이터입력!$U$34*데이터입력!$V$34,0)</f>
        <v>300960</v>
      </c>
      <c r="O28" s="120" t="str">
        <f>IF(P28="","","x ")</f>
        <v xml:space="preserve">x </v>
      </c>
      <c r="P28" s="124">
        <f>데이터입력!$Y$25</f>
        <v>33</v>
      </c>
      <c r="Q28" s="120" t="s">
        <v>404</v>
      </c>
      <c r="R28" s="125">
        <f>데이터입력!$Y$8</f>
        <v>12</v>
      </c>
      <c r="S28" s="120"/>
      <c r="T28" s="120" t="s">
        <v>405</v>
      </c>
      <c r="U28" s="120"/>
      <c r="V28" s="121">
        <f>IF(P28=0,N28*R28,N28*P28*R28)</f>
        <v>119180160</v>
      </c>
      <c r="W28" s="121"/>
      <c r="X28" s="121"/>
      <c r="Y28" s="121"/>
    </row>
    <row r="29" spans="1:38">
      <c r="A29" s="116"/>
      <c r="B29" s="116"/>
      <c r="C29" s="133"/>
      <c r="D29" s="133"/>
      <c r="E29" s="133"/>
      <c r="F29" s="134"/>
      <c r="G29" s="133"/>
      <c r="H29" s="135"/>
      <c r="I29" s="135"/>
      <c r="J29" s="135"/>
      <c r="K29" s="207"/>
      <c r="L29" s="129" t="s">
        <v>406</v>
      </c>
      <c r="M29" s="136"/>
      <c r="N29" s="137">
        <v>0</v>
      </c>
      <c r="O29" s="130" t="s">
        <v>404</v>
      </c>
      <c r="P29" s="138">
        <v>0</v>
      </c>
      <c r="Q29" s="130" t="s">
        <v>404</v>
      </c>
      <c r="R29" s="139">
        <f>데이터입력!$Y$8</f>
        <v>12</v>
      </c>
      <c r="S29" s="130"/>
      <c r="T29" s="130" t="s">
        <v>405</v>
      </c>
      <c r="U29" s="130"/>
      <c r="V29" s="140">
        <f>IF(P29=0,N29*R29,N29*P29*R29)</f>
        <v>0</v>
      </c>
      <c r="W29" s="140"/>
      <c r="X29" s="140"/>
      <c r="Y29" s="140"/>
    </row>
    <row r="30" spans="1:38">
      <c r="A30" s="116"/>
      <c r="B30" s="116"/>
      <c r="C30" s="107" t="s">
        <v>8</v>
      </c>
      <c r="D30" s="107" t="s">
        <v>8</v>
      </c>
      <c r="E30" s="107">
        <v>401010401</v>
      </c>
      <c r="F30" s="108" t="s">
        <v>83</v>
      </c>
      <c r="G30" s="107" t="s">
        <v>6</v>
      </c>
      <c r="H30" s="109">
        <f>IFERROR(IF(VLOOKUP(K30,데이터입력!$C$3:$L$40,5,FALSE)&lt;1000,ROUNDUP(VLOOKUP(K30,데이터입력!$C$3:$L$40,5,FALSE)*1/1000,0),ROUND(VLOOKUP(K30,데이터입력!$C$3:$L$40,5,FALSE)*1/1000,0)),0)</f>
        <v>0</v>
      </c>
      <c r="I30" s="109">
        <f>IFERROR(IF(F30="06",IF(V30&lt;1000,ROUNDUP((V30)*1/1000,0),ROUND((V30)*1/1000,0)),IF(F30="07",IF(W30&lt;1000,ROUNDUP((W30)*1/1000,0),ROUND((W30)*1/1000,0)),IF(F30="05",IF(X30&lt;1000,ROUNDUP((X30)*1/1000,0),ROUND((X30)*1/1000,0))))),0)</f>
        <v>0</v>
      </c>
      <c r="J30" s="110">
        <f>I30-H30</f>
        <v>0</v>
      </c>
      <c r="K30" s="110" t="str">
        <f>D30&amp;"("&amp;G30&amp;")"</f>
        <v>상급침실이용료(수익사업)</v>
      </c>
      <c r="L30" s="111" t="str">
        <f>D30</f>
        <v>상급침실이용료</v>
      </c>
      <c r="M30" s="112"/>
      <c r="N30" s="113"/>
      <c r="O30" s="114"/>
      <c r="P30" s="113"/>
      <c r="Q30" s="114"/>
      <c r="R30" s="113"/>
      <c r="S30" s="114"/>
      <c r="T30" s="114"/>
      <c r="U30" s="114"/>
      <c r="V30" s="115">
        <f>SUM(V31:V32)</f>
        <v>0</v>
      </c>
      <c r="W30" s="115">
        <f t="shared" ref="W30:X30" si="13">SUM(W31:W32)</f>
        <v>0</v>
      </c>
      <c r="X30" s="115">
        <f t="shared" si="13"/>
        <v>0</v>
      </c>
      <c r="Y30" s="115">
        <f>SUM(V30:X30)</f>
        <v>0</v>
      </c>
    </row>
    <row r="31" spans="1:38">
      <c r="A31" s="116"/>
      <c r="B31" s="116"/>
      <c r="C31" s="117"/>
      <c r="D31" s="117"/>
      <c r="E31" s="117"/>
      <c r="F31" s="131"/>
      <c r="G31" s="117"/>
      <c r="H31" s="132"/>
      <c r="I31" s="132"/>
      <c r="J31" s="132"/>
      <c r="K31" s="206"/>
      <c r="L31" s="126" t="str">
        <f>"    - "&amp;L30</f>
        <v xml:space="preserve">    - 상급침실이용료</v>
      </c>
      <c r="M31" s="210"/>
      <c r="N31" s="123">
        <f>IF(P31="",ROUNDUP(데이터입력!T35/R31,-3),ROUNDUP(데이터입력!T35/P31/R31,-3))</f>
        <v>0</v>
      </c>
      <c r="O31" s="120" t="str">
        <f>IF(P31="","","x ")</f>
        <v/>
      </c>
      <c r="P31" s="124"/>
      <c r="Q31" s="120" t="s">
        <v>404</v>
      </c>
      <c r="R31" s="125">
        <f>IF(VLOOKUP(L30,데이터입력!$R$35:$U$56,4,FALSE)="",데이터입력!$Y$8,VLOOKUP(L30,데이터입력!$R$35:$U$56,4,FALSE))</f>
        <v>12</v>
      </c>
      <c r="S31" s="120"/>
      <c r="T31" s="120" t="s">
        <v>405</v>
      </c>
      <c r="U31" s="120"/>
      <c r="V31" s="121">
        <f>IF(P31=0,N31*R31,N31*P31*R31)</f>
        <v>0</v>
      </c>
      <c r="W31" s="121"/>
      <c r="X31" s="121"/>
      <c r="Y31" s="121"/>
    </row>
    <row r="32" spans="1:38" hidden="1">
      <c r="A32" s="116"/>
      <c r="B32" s="116"/>
      <c r="C32" s="133"/>
      <c r="D32" s="133"/>
      <c r="E32" s="133"/>
      <c r="F32" s="134"/>
      <c r="G32" s="133"/>
      <c r="H32" s="135"/>
      <c r="I32" s="135"/>
      <c r="J32" s="135"/>
      <c r="K32" s="207"/>
      <c r="L32" s="129" t="s">
        <v>406</v>
      </c>
      <c r="M32" s="136"/>
      <c r="N32" s="137">
        <v>0</v>
      </c>
      <c r="O32" s="130" t="s">
        <v>404</v>
      </c>
      <c r="P32" s="138"/>
      <c r="Q32" s="130" t="s">
        <v>404</v>
      </c>
      <c r="R32" s="139">
        <f>데이터입력!$Y$8</f>
        <v>12</v>
      </c>
      <c r="S32" s="130"/>
      <c r="T32" s="130" t="s">
        <v>405</v>
      </c>
      <c r="U32" s="130"/>
      <c r="V32" s="140">
        <f>IF(P32=0,N32*R32,N32*P32*R32)</f>
        <v>0</v>
      </c>
      <c r="W32" s="140"/>
      <c r="X32" s="140"/>
      <c r="Y32" s="140"/>
    </row>
    <row r="33" spans="1:26">
      <c r="A33" s="116"/>
      <c r="B33" s="116"/>
      <c r="C33" s="107" t="s">
        <v>9</v>
      </c>
      <c r="D33" s="107" t="s">
        <v>9</v>
      </c>
      <c r="E33" s="107">
        <v>401010501</v>
      </c>
      <c r="F33" s="108" t="s">
        <v>83</v>
      </c>
      <c r="G33" s="107" t="s">
        <v>6</v>
      </c>
      <c r="H33" s="109">
        <f>IFERROR(IF(VLOOKUP(K33,데이터입력!$C$3:$L$40,5,FALSE)&lt;1000,ROUNDUP(VLOOKUP(K33,데이터입력!$C$3:$L$40,5,FALSE)*1/1000,0),ROUND(VLOOKUP(K33,데이터입력!$C$3:$L$40,5,FALSE)*1/1000,0)),0)</f>
        <v>0</v>
      </c>
      <c r="I33" s="109">
        <f>IFERROR(IF(F33="06",IF(V33&lt;1000,ROUNDUP((V33)*1/1000,0),ROUND((V33)*1/1000,0)),IF(F33="07",IF(W33&lt;1000,ROUNDUP((W33)*1/1000,0),ROUND((W33)*1/1000,0)),IF(F33="05",IF(X33&lt;1000,ROUNDUP((X33)*1/1000,0),ROUND((X33)*1/1000,0))))),0)</f>
        <v>0</v>
      </c>
      <c r="J33" s="110">
        <f>I33-H33</f>
        <v>0</v>
      </c>
      <c r="K33" s="110" t="str">
        <f>D33&amp;"("&amp;G33&amp;")"</f>
        <v>이미용비(수익사업)</v>
      </c>
      <c r="L33" s="111" t="str">
        <f>D33</f>
        <v>이미용비</v>
      </c>
      <c r="M33" s="112"/>
      <c r="N33" s="113"/>
      <c r="O33" s="114"/>
      <c r="P33" s="113"/>
      <c r="Q33" s="114"/>
      <c r="R33" s="113"/>
      <c r="S33" s="114"/>
      <c r="T33" s="114"/>
      <c r="U33" s="114"/>
      <c r="V33" s="115">
        <f>SUM(V34:V35)</f>
        <v>0</v>
      </c>
      <c r="W33" s="115">
        <f t="shared" ref="W33:X33" si="14">SUM(W34:W35)</f>
        <v>0</v>
      </c>
      <c r="X33" s="115">
        <f t="shared" si="14"/>
        <v>0</v>
      </c>
      <c r="Y33" s="115">
        <f>SUM(V33:X33)</f>
        <v>0</v>
      </c>
    </row>
    <row r="34" spans="1:26">
      <c r="A34" s="117"/>
      <c r="B34" s="117"/>
      <c r="C34" s="117"/>
      <c r="D34" s="117"/>
      <c r="E34" s="117"/>
      <c r="F34" s="131"/>
      <c r="G34" s="117"/>
      <c r="H34" s="132"/>
      <c r="I34" s="132"/>
      <c r="J34" s="132"/>
      <c r="K34" s="206"/>
      <c r="L34" s="126" t="str">
        <f>"    - "&amp;L33</f>
        <v xml:space="preserve">    - 이미용비</v>
      </c>
      <c r="M34" s="210"/>
      <c r="N34" s="123">
        <f>IF(P34="",ROUNDUP(데이터입력!T36/R34,-3),ROUNDUP(데이터입력!T36/P34/R34,-3))</f>
        <v>0</v>
      </c>
      <c r="O34" s="120" t="str">
        <f>IF(P34="","","x ")</f>
        <v/>
      </c>
      <c r="P34" s="124"/>
      <c r="Q34" s="120" t="s">
        <v>404</v>
      </c>
      <c r="R34" s="125">
        <f>IF(VLOOKUP(L33,데이터입력!$R$35:$U$56,4,FALSE)="",데이터입력!$Y$8,VLOOKUP(L33,데이터입력!$R$35:$U$56,4,FALSE))</f>
        <v>12</v>
      </c>
      <c r="S34" s="120"/>
      <c r="T34" s="120" t="s">
        <v>405</v>
      </c>
      <c r="U34" s="120"/>
      <c r="V34" s="121">
        <f>IF(P34=0,N34*R34,N34*P34*R34)</f>
        <v>0</v>
      </c>
      <c r="W34" s="121"/>
      <c r="X34" s="121"/>
      <c r="Y34" s="121"/>
    </row>
    <row r="35" spans="1:26" hidden="1">
      <c r="A35" s="117"/>
      <c r="B35" s="117"/>
      <c r="C35" s="133"/>
      <c r="D35" s="133"/>
      <c r="E35" s="133"/>
      <c r="F35" s="134"/>
      <c r="G35" s="133"/>
      <c r="H35" s="135"/>
      <c r="I35" s="135"/>
      <c r="J35" s="135"/>
      <c r="K35" s="207"/>
      <c r="L35" s="129" t="s">
        <v>406</v>
      </c>
      <c r="M35" s="136"/>
      <c r="N35" s="137">
        <v>0</v>
      </c>
      <c r="O35" s="130" t="s">
        <v>404</v>
      </c>
      <c r="P35" s="138"/>
      <c r="Q35" s="130" t="s">
        <v>404</v>
      </c>
      <c r="R35" s="139">
        <f>데이터입력!$Y$8</f>
        <v>12</v>
      </c>
      <c r="S35" s="130"/>
      <c r="T35" s="130" t="s">
        <v>405</v>
      </c>
      <c r="U35" s="130"/>
      <c r="V35" s="140">
        <f>IF(P35=0,N35*R35,N35*P35*R35)</f>
        <v>0</v>
      </c>
      <c r="W35" s="140"/>
      <c r="X35" s="140"/>
      <c r="Y35" s="140"/>
    </row>
    <row r="36" spans="1:26">
      <c r="A36" s="116"/>
      <c r="B36" s="116"/>
      <c r="C36" s="107" t="s">
        <v>10</v>
      </c>
      <c r="D36" s="107" t="s">
        <v>10</v>
      </c>
      <c r="E36" s="107">
        <v>401010601</v>
      </c>
      <c r="F36" s="108" t="s">
        <v>83</v>
      </c>
      <c r="G36" s="107" t="s">
        <v>6</v>
      </c>
      <c r="H36" s="109">
        <f>IFERROR(IF(VLOOKUP(K36,데이터입력!$C$3:$L$40,5,FALSE)&lt;1000,ROUNDUP(VLOOKUP(K36,데이터입력!$C$3:$L$40,5,FALSE)*1/1000,0),ROUND(VLOOKUP(K36,데이터입력!$C$3:$L$40,5,FALSE)*1/1000,0)),0)</f>
        <v>36000</v>
      </c>
      <c r="I36" s="109">
        <f>IFERROR(IF(F36="06",IF(V36&lt;1000,ROUNDUP((V36)*1/1000,0),ROUND((V36)*1/1000,0)),IF(F36="07",IF(W36&lt;1000,ROUNDUP((W36)*1/1000,0),ROUND((W36)*1/1000,0)),IF(F36="05",IF(X36&lt;1000,ROUNDUP((X36)*1/1000,0),ROUND((X36)*1/1000,0))))),0)</f>
        <v>36000</v>
      </c>
      <c r="J36" s="110">
        <f>I36-H36</f>
        <v>0</v>
      </c>
      <c r="K36" s="110" t="str">
        <f>D36&amp;"("&amp;G36&amp;")"</f>
        <v>기타비급여수입(수익사업)</v>
      </c>
      <c r="L36" s="111" t="str">
        <f>D36</f>
        <v>기타비급여수입</v>
      </c>
      <c r="M36" s="112"/>
      <c r="N36" s="113"/>
      <c r="O36" s="114"/>
      <c r="P36" s="113"/>
      <c r="Q36" s="114"/>
      <c r="R36" s="113"/>
      <c r="S36" s="114"/>
      <c r="T36" s="114"/>
      <c r="U36" s="114"/>
      <c r="V36" s="115">
        <f>SUM(V37:V38)</f>
        <v>36000000</v>
      </c>
      <c r="W36" s="115">
        <f t="shared" ref="W36:X36" si="15">SUM(W37:W38)</f>
        <v>0</v>
      </c>
      <c r="X36" s="115">
        <f t="shared" si="15"/>
        <v>0</v>
      </c>
      <c r="Y36" s="115">
        <f>SUM(V36:X36)</f>
        <v>36000000</v>
      </c>
    </row>
    <row r="37" spans="1:26">
      <c r="A37" s="117"/>
      <c r="B37" s="117"/>
      <c r="C37" s="117"/>
      <c r="D37" s="117"/>
      <c r="E37" s="117"/>
      <c r="F37" s="131"/>
      <c r="G37" s="117"/>
      <c r="H37" s="132"/>
      <c r="I37" s="132"/>
      <c r="J37" s="132"/>
      <c r="K37" s="206"/>
      <c r="L37" s="126" t="str">
        <f>"    - "&amp;L36</f>
        <v xml:space="preserve">    - 기타비급여수입</v>
      </c>
      <c r="M37" s="210"/>
      <c r="N37" s="123">
        <f>IF(P37="",ROUNDUP(데이터입력!T37/R37,-3),ROUNDUP(데이터입력!T37/P37/R37,-3))</f>
        <v>3000000</v>
      </c>
      <c r="O37" s="120" t="str">
        <f>IF(P37="","","x ")</f>
        <v/>
      </c>
      <c r="P37" s="124"/>
      <c r="Q37" s="120" t="s">
        <v>404</v>
      </c>
      <c r="R37" s="125">
        <f>IF(VLOOKUP(L36,데이터입력!$R$35:$U$56,4,FALSE)="",데이터입력!$Y$8,VLOOKUP(L36,데이터입력!$R$35:$U$56,4,FALSE))</f>
        <v>12</v>
      </c>
      <c r="S37" s="120"/>
      <c r="T37" s="120" t="s">
        <v>405</v>
      </c>
      <c r="U37" s="120"/>
      <c r="V37" s="121">
        <f>IF(P37=0,N37*R37,N37*P37*R37)</f>
        <v>36000000</v>
      </c>
      <c r="W37" s="121"/>
      <c r="X37" s="121"/>
      <c r="Y37" s="121"/>
    </row>
    <row r="38" spans="1:26" hidden="1">
      <c r="A38" s="133"/>
      <c r="B38" s="133"/>
      <c r="C38" s="133"/>
      <c r="D38" s="133"/>
      <c r="E38" s="133"/>
      <c r="F38" s="134"/>
      <c r="G38" s="133"/>
      <c r="H38" s="135"/>
      <c r="I38" s="135"/>
      <c r="J38" s="135"/>
      <c r="K38" s="207"/>
      <c r="L38" s="129" t="s">
        <v>406</v>
      </c>
      <c r="M38" s="136"/>
      <c r="N38" s="137">
        <v>0</v>
      </c>
      <c r="O38" s="130" t="s">
        <v>404</v>
      </c>
      <c r="P38" s="138"/>
      <c r="Q38" s="130" t="s">
        <v>404</v>
      </c>
      <c r="R38" s="139">
        <f>데이터입력!$Y$8</f>
        <v>12</v>
      </c>
      <c r="S38" s="130"/>
      <c r="T38" s="130" t="s">
        <v>405</v>
      </c>
      <c r="U38" s="130"/>
      <c r="V38" s="140">
        <f>IF(P38=0,N38*R38,N38*P38*R38)</f>
        <v>0</v>
      </c>
      <c r="W38" s="140"/>
      <c r="X38" s="140"/>
      <c r="Y38" s="140"/>
    </row>
    <row r="39" spans="1:26">
      <c r="A39" s="259" t="s">
        <v>11</v>
      </c>
      <c r="B39" s="260" t="s">
        <v>11</v>
      </c>
      <c r="C39" s="262"/>
      <c r="D39" s="262"/>
      <c r="E39" s="262"/>
      <c r="F39" s="262"/>
      <c r="G39" s="262"/>
      <c r="H39" s="250">
        <f>SUM(H40)</f>
        <v>0</v>
      </c>
      <c r="I39" s="250">
        <f>SUM(I40)</f>
        <v>0</v>
      </c>
      <c r="J39" s="250">
        <f>SUM(J40)</f>
        <v>0</v>
      </c>
      <c r="K39" s="250"/>
      <c r="L39" s="263"/>
      <c r="M39" s="263"/>
      <c r="N39" s="263"/>
      <c r="O39" s="263"/>
      <c r="P39" s="263"/>
      <c r="Q39" s="263"/>
      <c r="R39" s="263"/>
      <c r="S39" s="263"/>
      <c r="T39" s="263"/>
      <c r="U39" s="263"/>
      <c r="V39" s="273">
        <f>SUM(V40)</f>
        <v>0</v>
      </c>
      <c r="W39" s="273">
        <f t="shared" ref="W39:Y39" si="16">SUM(W40)</f>
        <v>0</v>
      </c>
      <c r="X39" s="273">
        <f t="shared" si="16"/>
        <v>0</v>
      </c>
      <c r="Y39" s="273">
        <f t="shared" si="16"/>
        <v>0</v>
      </c>
    </row>
    <row r="40" spans="1:26">
      <c r="A40" s="106"/>
      <c r="B40" s="107"/>
      <c r="C40" s="107" t="s">
        <v>11</v>
      </c>
      <c r="D40" s="107" t="s">
        <v>11</v>
      </c>
      <c r="E40" s="107">
        <v>402010101</v>
      </c>
      <c r="F40" s="108" t="s">
        <v>83</v>
      </c>
      <c r="G40" s="107" t="s">
        <v>6</v>
      </c>
      <c r="H40" s="109">
        <f>IFERROR(IF(VLOOKUP(K40,데이터입력!$C$3:$L$40,5,FALSE)&lt;1000,ROUNDUP(VLOOKUP(K40,데이터입력!$C$3:$L$40,5,FALSE)*1/1000,0),ROUND(VLOOKUP(K40,데이터입력!$C$3:$L$40,5,FALSE)*1/1000,0)),0)</f>
        <v>0</v>
      </c>
      <c r="I40" s="109">
        <f>IFERROR(IF(F40="06",IF(V40&lt;1000,ROUNDUP((V40)*1/1000,0),ROUND((V40)*1/1000,0)),IF(F40="07",IF(W40&lt;1000,ROUNDUP((W40)*1/1000,0),ROUND((W40)*1/1000,0)),IF(F40="05",IF(X40&lt;1000,ROUNDUP((X40)*1/1000,0),ROUND((X40)*1/1000,0))))),0)</f>
        <v>0</v>
      </c>
      <c r="J40" s="110">
        <f>I40-H40</f>
        <v>0</v>
      </c>
      <c r="K40" s="110" t="str">
        <f>D40&amp;"("&amp;G40&amp;")"</f>
        <v>사업수입(수익사업)</v>
      </c>
      <c r="L40" s="111" t="str">
        <f>D40</f>
        <v>사업수입</v>
      </c>
      <c r="M40" s="112"/>
      <c r="N40" s="113"/>
      <c r="O40" s="114"/>
      <c r="P40" s="113"/>
      <c r="Q40" s="114"/>
      <c r="R40" s="113"/>
      <c r="S40" s="114"/>
      <c r="T40" s="114"/>
      <c r="U40" s="114"/>
      <c r="V40" s="115">
        <f>SUM(V41:V42)</f>
        <v>0</v>
      </c>
      <c r="W40" s="115">
        <f t="shared" ref="W40:X40" si="17">SUM(W41:W42)</f>
        <v>0</v>
      </c>
      <c r="X40" s="115">
        <f t="shared" si="17"/>
        <v>0</v>
      </c>
      <c r="Y40" s="115">
        <f>SUM(V40:X40)</f>
        <v>0</v>
      </c>
    </row>
    <row r="41" spans="1:26">
      <c r="A41" s="117"/>
      <c r="B41" s="117"/>
      <c r="C41" s="117"/>
      <c r="D41" s="117"/>
      <c r="E41" s="117"/>
      <c r="F41" s="131"/>
      <c r="G41" s="117"/>
      <c r="H41" s="132"/>
      <c r="I41" s="132"/>
      <c r="J41" s="132"/>
      <c r="K41" s="206"/>
      <c r="L41" s="126" t="str">
        <f>"    - "&amp;L40</f>
        <v xml:space="preserve">    - 사업수입</v>
      </c>
      <c r="M41" s="210"/>
      <c r="N41" s="123">
        <v>0</v>
      </c>
      <c r="O41" s="120" t="str">
        <f>IF(P41="","","x ")</f>
        <v/>
      </c>
      <c r="P41" s="124"/>
      <c r="Q41" s="120" t="s">
        <v>404</v>
      </c>
      <c r="R41" s="125">
        <f>데이터입력!$Y$8</f>
        <v>12</v>
      </c>
      <c r="S41" s="120"/>
      <c r="T41" s="120" t="s">
        <v>405</v>
      </c>
      <c r="U41" s="120"/>
      <c r="V41" s="121">
        <f>IF(P41=0,N41*R41,N41*P41*R41)</f>
        <v>0</v>
      </c>
      <c r="W41" s="121"/>
      <c r="X41" s="121"/>
      <c r="Y41" s="121"/>
    </row>
    <row r="42" spans="1:26" hidden="1">
      <c r="A42" s="133"/>
      <c r="B42" s="133"/>
      <c r="C42" s="133"/>
      <c r="D42" s="133"/>
      <c r="E42" s="133"/>
      <c r="F42" s="134"/>
      <c r="G42" s="133"/>
      <c r="H42" s="135"/>
      <c r="I42" s="135"/>
      <c r="J42" s="135"/>
      <c r="K42" s="207"/>
      <c r="L42" s="129" t="s">
        <v>406</v>
      </c>
      <c r="M42" s="136"/>
      <c r="N42" s="137">
        <v>0</v>
      </c>
      <c r="O42" s="130" t="s">
        <v>404</v>
      </c>
      <c r="P42" s="138"/>
      <c r="Q42" s="130" t="s">
        <v>404</v>
      </c>
      <c r="R42" s="139">
        <f>데이터입력!$Y$8</f>
        <v>12</v>
      </c>
      <c r="S42" s="130"/>
      <c r="T42" s="130" t="s">
        <v>405</v>
      </c>
      <c r="U42" s="130"/>
      <c r="V42" s="140">
        <f>IF(P42=0,N42*R42,N42*P42*R42)</f>
        <v>0</v>
      </c>
      <c r="W42" s="140"/>
      <c r="X42" s="140"/>
      <c r="Y42" s="140"/>
    </row>
    <row r="43" spans="1:26">
      <c r="A43" s="259" t="s">
        <v>12</v>
      </c>
      <c r="B43" s="260" t="s">
        <v>12</v>
      </c>
      <c r="C43" s="262"/>
      <c r="D43" s="262"/>
      <c r="E43" s="262"/>
      <c r="F43" s="262"/>
      <c r="G43" s="262"/>
      <c r="H43" s="250">
        <f>SUM(H44)</f>
        <v>0</v>
      </c>
      <c r="I43" s="250">
        <f>SUM(I44)</f>
        <v>0</v>
      </c>
      <c r="J43" s="250">
        <f>SUM(J44)</f>
        <v>0</v>
      </c>
      <c r="K43" s="250"/>
      <c r="L43" s="263"/>
      <c r="M43" s="263"/>
      <c r="N43" s="263"/>
      <c r="O43" s="263"/>
      <c r="P43" s="263"/>
      <c r="Q43" s="263"/>
      <c r="R43" s="263"/>
      <c r="S43" s="263"/>
      <c r="T43" s="263"/>
      <c r="U43" s="263"/>
      <c r="V43" s="273">
        <f>SUM(V44)</f>
        <v>0</v>
      </c>
      <c r="W43" s="273">
        <f t="shared" ref="W43:Y43" si="18">SUM(W44)</f>
        <v>0</v>
      </c>
      <c r="X43" s="273">
        <f t="shared" si="18"/>
        <v>0</v>
      </c>
      <c r="Y43" s="273">
        <f t="shared" si="18"/>
        <v>0</v>
      </c>
    </row>
    <row r="44" spans="1:26">
      <c r="A44" s="106"/>
      <c r="B44" s="107"/>
      <c r="C44" s="107" t="s">
        <v>12</v>
      </c>
      <c r="D44" s="107" t="s">
        <v>12</v>
      </c>
      <c r="E44" s="107">
        <v>403010101</v>
      </c>
      <c r="F44" s="108" t="s">
        <v>83</v>
      </c>
      <c r="G44" s="107" t="s">
        <v>6</v>
      </c>
      <c r="H44" s="109">
        <f>IFERROR(IF(VLOOKUP(K44,데이터입력!$C$3:$L$40,5,FALSE)&lt;1000,ROUNDUP(VLOOKUP(K44,데이터입력!$C$3:$L$40,5,FALSE)*1/1000,0),ROUND(VLOOKUP(K44,데이터입력!$C$3:$L$40,5,FALSE)*1/1000,0)),0)</f>
        <v>0</v>
      </c>
      <c r="I44" s="109">
        <f>IFERROR(IF(F44="06",IF(V44&lt;1000,ROUNDUP((V44)*1/1000,0),ROUND((V44)*1/1000,0)),IF(F44="07",IF(W44&lt;1000,ROUNDUP((W44)*1/1000,0),ROUND((W44)*1/1000,0)),IF(F44="05",IF(X44&lt;1000,ROUNDUP((X44)*1/1000,0),ROUND((X44)*1/1000,0))))),0)</f>
        <v>0</v>
      </c>
      <c r="J44" s="110">
        <f>I44-H44</f>
        <v>0</v>
      </c>
      <c r="K44" s="110" t="str">
        <f>D44&amp;"("&amp;G44&amp;")"</f>
        <v>과년도수입(수익사업)</v>
      </c>
      <c r="L44" s="111" t="str">
        <f>D44</f>
        <v>과년도수입</v>
      </c>
      <c r="M44" s="112"/>
      <c r="N44" s="113"/>
      <c r="O44" s="114"/>
      <c r="P44" s="113"/>
      <c r="Q44" s="114"/>
      <c r="R44" s="113"/>
      <c r="S44" s="114"/>
      <c r="T44" s="114"/>
      <c r="U44" s="114"/>
      <c r="V44" s="115">
        <f>SUM(V45:V46)</f>
        <v>0</v>
      </c>
      <c r="W44" s="115">
        <f t="shared" ref="W44:X44" si="19">SUM(W45:W46)</f>
        <v>0</v>
      </c>
      <c r="X44" s="115">
        <f t="shared" si="19"/>
        <v>0</v>
      </c>
      <c r="Y44" s="115">
        <f>SUM(V44:X44)</f>
        <v>0</v>
      </c>
    </row>
    <row r="45" spans="1:26">
      <c r="A45" s="117"/>
      <c r="B45" s="117"/>
      <c r="C45" s="117"/>
      <c r="D45" s="117"/>
      <c r="E45" s="117"/>
      <c r="F45" s="131"/>
      <c r="G45" s="117"/>
      <c r="H45" s="132"/>
      <c r="I45" s="132"/>
      <c r="J45" s="132"/>
      <c r="K45" s="206"/>
      <c r="L45" s="126" t="str">
        <f>"    - "&amp;L44</f>
        <v xml:space="preserve">    - 과년도수입</v>
      </c>
      <c r="M45" s="210"/>
      <c r="N45" s="123">
        <f>IF(P45="",ROUNDUP(데이터입력!T38/R45,-3),ROUNDUP(데이터입력!T38/P45/R45,-3))</f>
        <v>0</v>
      </c>
      <c r="O45" s="120" t="str">
        <f>IF(P45="","","x ")</f>
        <v/>
      </c>
      <c r="P45" s="124"/>
      <c r="Q45" s="120" t="s">
        <v>404</v>
      </c>
      <c r="R45" s="125">
        <f>IF(VLOOKUP(L44,데이터입력!$R$35:$U$56,4,FALSE)="",데이터입력!$Y$8,VLOOKUP(L44,데이터입력!$R$35:$U$56,4,FALSE))</f>
        <v>12</v>
      </c>
      <c r="S45" s="120"/>
      <c r="T45" s="120" t="s">
        <v>405</v>
      </c>
      <c r="U45" s="120"/>
      <c r="V45" s="121">
        <f>IF(P45=0,N45*R45,N45*P45*R45)</f>
        <v>0</v>
      </c>
      <c r="W45" s="121"/>
      <c r="X45" s="121"/>
      <c r="Y45" s="121"/>
    </row>
    <row r="46" spans="1:26" hidden="1">
      <c r="A46" s="133"/>
      <c r="B46" s="133"/>
      <c r="C46" s="133"/>
      <c r="D46" s="133"/>
      <c r="E46" s="133"/>
      <c r="F46" s="134"/>
      <c r="G46" s="133"/>
      <c r="H46" s="135"/>
      <c r="I46" s="135"/>
      <c r="J46" s="135"/>
      <c r="K46" s="207"/>
      <c r="L46" s="129" t="s">
        <v>406</v>
      </c>
      <c r="M46" s="136"/>
      <c r="N46" s="137">
        <v>0</v>
      </c>
      <c r="O46" s="130" t="s">
        <v>404</v>
      </c>
      <c r="P46" s="138">
        <v>0</v>
      </c>
      <c r="Q46" s="130" t="s">
        <v>404</v>
      </c>
      <c r="R46" s="139">
        <f>데이터입력!$Y$8</f>
        <v>12</v>
      </c>
      <c r="S46" s="130"/>
      <c r="T46" s="130" t="s">
        <v>405</v>
      </c>
      <c r="U46" s="130"/>
      <c r="V46" s="140">
        <f>IF(P46=0,N46*R46,N46*P46*R46)</f>
        <v>0</v>
      </c>
      <c r="W46" s="140"/>
      <c r="X46" s="140"/>
      <c r="Y46" s="140"/>
    </row>
    <row r="47" spans="1:26">
      <c r="A47" s="259" t="s">
        <v>306</v>
      </c>
      <c r="B47" s="260" t="s">
        <v>306</v>
      </c>
      <c r="C47" s="262"/>
      <c r="D47" s="262"/>
      <c r="E47" s="262"/>
      <c r="F47" s="262"/>
      <c r="G47" s="262"/>
      <c r="H47" s="250">
        <f t="shared" ref="H47:J47" si="20">SUM(H48,H52,H56,H60,H64,H72,H76,H80)</f>
        <v>56400</v>
      </c>
      <c r="I47" s="250">
        <f t="shared" si="20"/>
        <v>59280</v>
      </c>
      <c r="J47" s="250">
        <f t="shared" si="20"/>
        <v>2880</v>
      </c>
      <c r="K47" s="250"/>
      <c r="L47" s="263"/>
      <c r="M47" s="263"/>
      <c r="N47" s="263"/>
      <c r="O47" s="263"/>
      <c r="P47" s="263"/>
      <c r="Q47" s="263"/>
      <c r="R47" s="263"/>
      <c r="S47" s="263"/>
      <c r="T47" s="263"/>
      <c r="U47" s="263"/>
      <c r="V47" s="273">
        <f>SUM(V48,V52,V56,V60,V64,V72,V76,V80)</f>
        <v>0</v>
      </c>
      <c r="W47" s="273">
        <f t="shared" ref="W47:Y47" si="21">SUM(W48,W52,W56,W60,W64,W72,W76,W80)</f>
        <v>59280000</v>
      </c>
      <c r="X47" s="273">
        <f t="shared" si="21"/>
        <v>0</v>
      </c>
      <c r="Y47" s="273">
        <f t="shared" si="21"/>
        <v>59280000</v>
      </c>
    </row>
    <row r="48" spans="1:26">
      <c r="A48" s="117"/>
      <c r="B48" s="117"/>
      <c r="C48" s="107" t="s">
        <v>13</v>
      </c>
      <c r="D48" s="107" t="s">
        <v>13</v>
      </c>
      <c r="E48" s="107">
        <v>403010101</v>
      </c>
      <c r="F48" s="108" t="s">
        <v>84</v>
      </c>
      <c r="G48" s="107" t="s">
        <v>14</v>
      </c>
      <c r="H48" s="109">
        <f>IFERROR(IF(VLOOKUP(K48,데이터입력!$C$3:$L$40,5,FALSE)&lt;1000,ROUNDUP(VLOOKUP(K48,데이터입력!$C$3:$L$40,5,FALSE)*1/1000,0),ROUND(VLOOKUP(K48,데이터입력!$C$3:$L$40,5,FALSE)*1/1000,0)),0)</f>
        <v>0</v>
      </c>
      <c r="I48" s="109">
        <f>IFERROR(IF(F48="06",IF(V48&lt;1000,ROUNDUP((V48)*1/1000,0),ROUND((V48)*1/1000,0)),IF(F48="07",IF(W48&lt;1000,ROUNDUP((W48)*1/1000,0),ROUND((W48)*1/1000,0)),IF(F48="05",IF(X48&lt;1000,ROUNDUP((X48)*1/1000,0),ROUND((X48)*1/1000,0))))),0)</f>
        <v>0</v>
      </c>
      <c r="J48" s="110">
        <f>I48-H48</f>
        <v>0</v>
      </c>
      <c r="K48" s="110" t="str">
        <f>D48&amp;"("&amp;G48&amp;")"</f>
        <v>국고보조금(보조금)</v>
      </c>
      <c r="L48" s="111" t="str">
        <f>D48</f>
        <v>국고보조금</v>
      </c>
      <c r="M48" s="221"/>
      <c r="N48" s="113"/>
      <c r="O48" s="114"/>
      <c r="P48" s="113"/>
      <c r="Q48" s="114"/>
      <c r="R48" s="113"/>
      <c r="S48" s="114"/>
      <c r="T48" s="114"/>
      <c r="U48" s="114"/>
      <c r="V48" s="115"/>
      <c r="W48" s="115">
        <f>SUM(W49:W51)</f>
        <v>0</v>
      </c>
      <c r="X48" s="115"/>
      <c r="Y48" s="115">
        <f>SUM(V48:X48)</f>
        <v>0</v>
      </c>
      <c r="Z48" s="97">
        <f>IFERROR(VLOOKUP(L48,데이터입력!$R$57:$T$62,3,FALSE),0)</f>
        <v>0</v>
      </c>
    </row>
    <row r="49" spans="1:26">
      <c r="A49" s="117"/>
      <c r="B49" s="117"/>
      <c r="C49" s="117"/>
      <c r="D49" s="117"/>
      <c r="E49" s="117"/>
      <c r="F49" s="131"/>
      <c r="G49" s="117"/>
      <c r="H49" s="132"/>
      <c r="I49" s="132"/>
      <c r="J49" s="132"/>
      <c r="K49" s="206"/>
      <c r="L49" s="126" t="str">
        <f>"    - "&amp;데이터입력!X75</f>
        <v xml:space="preserve">    - 국고보조금</v>
      </c>
      <c r="M49" s="210"/>
      <c r="N49" s="123">
        <f>데이터입력!Y75</f>
        <v>0</v>
      </c>
      <c r="O49" s="120" t="str">
        <f>IF(P49="","","x ")</f>
        <v/>
      </c>
      <c r="P49" s="124"/>
      <c r="Q49" s="120" t="s">
        <v>404</v>
      </c>
      <c r="R49" s="125">
        <f>IF(VLOOKUP(L48,데이터입력!$R$57:$U$62,4,FALSE)="",데이터입력!$Y$8,VLOOKUP(L48,데이터입력!$R$57:$U$62,4,FALSE))</f>
        <v>12</v>
      </c>
      <c r="S49" s="120"/>
      <c r="T49" s="120" t="s">
        <v>405</v>
      </c>
      <c r="U49" s="120"/>
      <c r="V49" s="121"/>
      <c r="W49" s="121">
        <f>IF(P49="",N49*R49,N49*P49*R49)</f>
        <v>0</v>
      </c>
      <c r="X49" s="121"/>
      <c r="Y49" s="121"/>
    </row>
    <row r="50" spans="1:26">
      <c r="A50" s="117"/>
      <c r="B50" s="117"/>
      <c r="C50" s="117"/>
      <c r="D50" s="117"/>
      <c r="E50" s="117"/>
      <c r="F50" s="131"/>
      <c r="G50" s="117"/>
      <c r="H50" s="132"/>
      <c r="I50" s="132"/>
      <c r="J50" s="132"/>
      <c r="K50" s="206"/>
      <c r="L50" s="126" t="str">
        <f>"    - "&amp;데이터입력!X76</f>
        <v xml:space="preserve">    - </v>
      </c>
      <c r="M50" s="210"/>
      <c r="N50" s="123">
        <f>데이터입력!Y76</f>
        <v>0</v>
      </c>
      <c r="O50" s="120" t="str">
        <f>IF(P50="","","x ")</f>
        <v/>
      </c>
      <c r="P50" s="124"/>
      <c r="Q50" s="120" t="s">
        <v>404</v>
      </c>
      <c r="R50" s="125">
        <f>R49</f>
        <v>12</v>
      </c>
      <c r="S50" s="120"/>
      <c r="T50" s="120" t="s">
        <v>405</v>
      </c>
      <c r="U50" s="120"/>
      <c r="V50" s="121"/>
      <c r="W50" s="121">
        <f t="shared" ref="W50:W51" si="22">IF(P50="",N50*R50,N50*P50*R50)</f>
        <v>0</v>
      </c>
      <c r="X50" s="121"/>
      <c r="Y50" s="121"/>
    </row>
    <row r="51" spans="1:26" hidden="1">
      <c r="A51" s="117"/>
      <c r="B51" s="117"/>
      <c r="C51" s="117"/>
      <c r="D51" s="133"/>
      <c r="E51" s="133"/>
      <c r="F51" s="134"/>
      <c r="G51" s="133"/>
      <c r="H51" s="135"/>
      <c r="I51" s="135"/>
      <c r="J51" s="135"/>
      <c r="K51" s="207"/>
      <c r="L51" s="129" t="str">
        <f>"    - "&amp;데이터입력!X77</f>
        <v xml:space="preserve">    - </v>
      </c>
      <c r="M51" s="136"/>
      <c r="N51" s="137">
        <f>데이터입력!Y77</f>
        <v>0</v>
      </c>
      <c r="O51" s="130" t="s">
        <v>404</v>
      </c>
      <c r="P51" s="138"/>
      <c r="Q51" s="130" t="s">
        <v>404</v>
      </c>
      <c r="R51" s="139">
        <f>데이터입력!$Y$8</f>
        <v>12</v>
      </c>
      <c r="S51" s="130"/>
      <c r="T51" s="130" t="s">
        <v>405</v>
      </c>
      <c r="U51" s="130"/>
      <c r="V51" s="140"/>
      <c r="W51" s="140">
        <f t="shared" si="22"/>
        <v>0</v>
      </c>
      <c r="X51" s="140"/>
      <c r="Y51" s="140"/>
    </row>
    <row r="52" spans="1:26">
      <c r="A52" s="117"/>
      <c r="B52" s="117"/>
      <c r="C52" s="117"/>
      <c r="D52" s="107" t="s">
        <v>13</v>
      </c>
      <c r="E52" s="107">
        <v>403010101</v>
      </c>
      <c r="F52" s="108" t="s">
        <v>407</v>
      </c>
      <c r="G52" s="107" t="s">
        <v>408</v>
      </c>
      <c r="H52" s="109">
        <f>IFERROR(IF(VLOOKUP(K52,데이터입력!$C$3:$L$40,5,FALSE)&lt;1000,ROUNDUP(VLOOKUP(K52,데이터입력!$C$3:$L$40,5,FALSE)*1/1000,0),ROUND(VLOOKUP(K52,데이터입력!$C$3:$L$40,5,FALSE)*1/1000,0)),0)</f>
        <v>0</v>
      </c>
      <c r="I52" s="109">
        <f>IFERROR(IF(F52="06",IF(V52&lt;1000,ROUNDUP((V52)*1/1000,0),ROUND((V52)*1/1000,0)),IF(F52="07",IF(W52&lt;1000,ROUNDUP((W52)*1/1000,0),ROUND((W52)*1/1000,0)),IF(F52="05",IF(X52&lt;1000,ROUNDUP((X52)*1/1000,0),ROUND((X52)*1/1000,0))))),0)</f>
        <v>0</v>
      </c>
      <c r="J52" s="110">
        <f>I52-H52</f>
        <v>0</v>
      </c>
      <c r="K52" s="110" t="str">
        <f>D52&amp;"("&amp;G52&amp;")"</f>
        <v>국고보조금(수익사업)</v>
      </c>
      <c r="L52" s="222" t="str">
        <f>D52</f>
        <v>국고보조금</v>
      </c>
      <c r="M52" s="221"/>
      <c r="N52" s="113"/>
      <c r="O52" s="114"/>
      <c r="P52" s="113"/>
      <c r="Q52" s="114"/>
      <c r="R52" s="113"/>
      <c r="S52" s="114"/>
      <c r="T52" s="114"/>
      <c r="U52" s="114"/>
      <c r="V52" s="115">
        <f>SUM(V53:V55)</f>
        <v>0</v>
      </c>
      <c r="W52" s="115"/>
      <c r="X52" s="115"/>
      <c r="Y52" s="115">
        <f>SUM(V52:X52)</f>
        <v>0</v>
      </c>
      <c r="Z52" s="97">
        <f>IFERROR(VLOOKUP(L52,데이터입력!$R$35:$T$56,3,FALSE),0)</f>
        <v>0</v>
      </c>
    </row>
    <row r="53" spans="1:26">
      <c r="A53" s="117"/>
      <c r="B53" s="117"/>
      <c r="C53" s="117"/>
      <c r="D53" s="117"/>
      <c r="E53" s="117"/>
      <c r="F53" s="131"/>
      <c r="G53" s="117"/>
      <c r="H53" s="132"/>
      <c r="I53" s="132"/>
      <c r="J53" s="132"/>
      <c r="K53" s="206"/>
      <c r="L53" s="126" t="str">
        <f>"    - "&amp;데이터입력!Z25</f>
        <v xml:space="preserve">    - 국고보조금</v>
      </c>
      <c r="M53" s="210"/>
      <c r="N53" s="123">
        <f>데이터입력!AA25</f>
        <v>0</v>
      </c>
      <c r="O53" s="120" t="str">
        <f>IF(P53="","","x ")</f>
        <v/>
      </c>
      <c r="P53" s="124"/>
      <c r="Q53" s="120" t="s">
        <v>404</v>
      </c>
      <c r="R53" s="125">
        <f>IF(VLOOKUP(L52,데이터입력!$R$35:$U$56,4,FALSE)="",데이터입력!$Y$8,VLOOKUP(L52,데이터입력!$R$35:$U$56,4,FALSE))</f>
        <v>12</v>
      </c>
      <c r="S53" s="120"/>
      <c r="T53" s="120" t="s">
        <v>405</v>
      </c>
      <c r="U53" s="120"/>
      <c r="V53" s="121">
        <f>IF(P53=0,N53*R53,N53*P53*R53)</f>
        <v>0</v>
      </c>
      <c r="W53" s="121"/>
      <c r="X53" s="121"/>
      <c r="Y53" s="121"/>
    </row>
    <row r="54" spans="1:26">
      <c r="A54" s="117"/>
      <c r="B54" s="117"/>
      <c r="C54" s="117"/>
      <c r="D54" s="117"/>
      <c r="E54" s="117"/>
      <c r="F54" s="131"/>
      <c r="G54" s="117"/>
      <c r="H54" s="132"/>
      <c r="I54" s="132"/>
      <c r="J54" s="132"/>
      <c r="K54" s="206"/>
      <c r="L54" s="126" t="str">
        <f>"    - "&amp;데이터입력!Z26</f>
        <v xml:space="preserve">    - </v>
      </c>
      <c r="M54" s="210"/>
      <c r="N54" s="123">
        <f>데이터입력!AA26</f>
        <v>0</v>
      </c>
      <c r="O54" s="120" t="str">
        <f>IF(P54="","","x ")</f>
        <v/>
      </c>
      <c r="P54" s="124"/>
      <c r="Q54" s="120" t="s">
        <v>404</v>
      </c>
      <c r="R54" s="125">
        <f>R53</f>
        <v>12</v>
      </c>
      <c r="S54" s="120"/>
      <c r="T54" s="120" t="s">
        <v>405</v>
      </c>
      <c r="U54" s="120"/>
      <c r="V54" s="121">
        <f>IF(P54=0,N54*R54,N54*P54*R54)</f>
        <v>0</v>
      </c>
      <c r="W54" s="121"/>
      <c r="X54" s="121"/>
      <c r="Y54" s="121"/>
    </row>
    <row r="55" spans="1:26" hidden="1">
      <c r="A55" s="117"/>
      <c r="B55" s="117"/>
      <c r="C55" s="117"/>
      <c r="D55" s="133"/>
      <c r="E55" s="133"/>
      <c r="F55" s="134"/>
      <c r="G55" s="133"/>
      <c r="H55" s="135"/>
      <c r="I55" s="135"/>
      <c r="J55" s="135"/>
      <c r="K55" s="207"/>
      <c r="L55" s="129" t="str">
        <f>"    - "&amp;데이터입력!Z27</f>
        <v xml:space="preserve">    - </v>
      </c>
      <c r="M55" s="136"/>
      <c r="N55" s="137">
        <f>데이터입력!AA27</f>
        <v>0</v>
      </c>
      <c r="O55" s="130" t="s">
        <v>404</v>
      </c>
      <c r="P55" s="138"/>
      <c r="Q55" s="130" t="s">
        <v>404</v>
      </c>
      <c r="R55" s="139">
        <f>데이터입력!$Y$8</f>
        <v>12</v>
      </c>
      <c r="S55" s="130"/>
      <c r="T55" s="130" t="s">
        <v>405</v>
      </c>
      <c r="U55" s="130"/>
      <c r="V55" s="140">
        <f>IF(P55=0,N55*R55,N55*P55*R55)</f>
        <v>0</v>
      </c>
      <c r="W55" s="140"/>
      <c r="X55" s="140"/>
      <c r="Y55" s="140"/>
    </row>
    <row r="56" spans="1:26">
      <c r="A56" s="117"/>
      <c r="B56" s="117"/>
      <c r="C56" s="107" t="s">
        <v>15</v>
      </c>
      <c r="D56" s="107" t="s">
        <v>15</v>
      </c>
      <c r="E56" s="107">
        <v>404010101</v>
      </c>
      <c r="F56" s="108" t="s">
        <v>84</v>
      </c>
      <c r="G56" s="107" t="s">
        <v>14</v>
      </c>
      <c r="H56" s="109">
        <f>IFERROR(IF(VLOOKUP(K56,데이터입력!$C$3:$L$40,5,FALSE)&lt;1000,ROUNDUP(VLOOKUP(K56,데이터입력!$C$3:$L$40,5,FALSE)*1/1000,0),ROUND(VLOOKUP(K56,데이터입력!$C$3:$L$40,5,FALSE)*1/1000,0)),0)</f>
        <v>0</v>
      </c>
      <c r="I56" s="109">
        <f>IFERROR(IF(F56="06",IF(V56&lt;1000,ROUNDUP((V56)*1/1000,0),ROUND((V56)*1/1000,0)),IF(F56="07",IF(W56&lt;1000,ROUNDUP((W56)*1/1000,0),ROUND((W56)*1/1000,0)),IF(F56="05",IF(X56&lt;1000,ROUNDUP((X56)*1/1000,0),ROUND((X56)*1/1000,0))))),0)</f>
        <v>0</v>
      </c>
      <c r="J56" s="110">
        <f>I56-H56</f>
        <v>0</v>
      </c>
      <c r="K56" s="110" t="str">
        <f>D56&amp;"("&amp;G56&amp;")"</f>
        <v>시도보조금(보조금)</v>
      </c>
      <c r="L56" s="111" t="str">
        <f>D56</f>
        <v>시도보조금</v>
      </c>
      <c r="M56" s="221"/>
      <c r="N56" s="113"/>
      <c r="O56" s="114"/>
      <c r="P56" s="113"/>
      <c r="Q56" s="114"/>
      <c r="R56" s="113"/>
      <c r="S56" s="114"/>
      <c r="T56" s="114"/>
      <c r="U56" s="114"/>
      <c r="V56" s="115"/>
      <c r="W56" s="115">
        <f>SUM(W57:W59)</f>
        <v>0</v>
      </c>
      <c r="X56" s="115"/>
      <c r="Y56" s="115">
        <f>SUM(V56:X56)</f>
        <v>0</v>
      </c>
      <c r="Z56" s="97">
        <f>IFERROR(VLOOKUP(L56,데이터입력!$R$57:$T$62,3,FALSE),0)</f>
        <v>0</v>
      </c>
    </row>
    <row r="57" spans="1:26">
      <c r="A57" s="117"/>
      <c r="B57" s="117"/>
      <c r="C57" s="117"/>
      <c r="D57" s="117"/>
      <c r="E57" s="117"/>
      <c r="F57" s="131"/>
      <c r="G57" s="117"/>
      <c r="H57" s="132"/>
      <c r="I57" s="132"/>
      <c r="J57" s="132"/>
      <c r="K57" s="206"/>
      <c r="L57" s="126" t="str">
        <f>"    - "&amp;데이터입력!Z75</f>
        <v xml:space="preserve">    - 시도보조금</v>
      </c>
      <c r="M57" s="210"/>
      <c r="N57" s="123">
        <f>데이터입력!AA75</f>
        <v>0</v>
      </c>
      <c r="O57" s="120" t="str">
        <f>IF(P57="","","x ")</f>
        <v/>
      </c>
      <c r="P57" s="124"/>
      <c r="Q57" s="120" t="s">
        <v>404</v>
      </c>
      <c r="R57" s="125">
        <f>IF(VLOOKUP(L56,데이터입력!$R$57:$U$62,4,FALSE)="",데이터입력!$Y$8,VLOOKUP(L56,데이터입력!$R$57:$U$62,4,FALSE))</f>
        <v>12</v>
      </c>
      <c r="S57" s="120"/>
      <c r="T57" s="120" t="s">
        <v>405</v>
      </c>
      <c r="U57" s="120"/>
      <c r="V57" s="121"/>
      <c r="W57" s="121">
        <f>IF(P57="",N57*R57,N57*P57*R57)</f>
        <v>0</v>
      </c>
      <c r="X57" s="121"/>
      <c r="Y57" s="121"/>
    </row>
    <row r="58" spans="1:26">
      <c r="A58" s="117"/>
      <c r="B58" s="117"/>
      <c r="C58" s="117"/>
      <c r="D58" s="117"/>
      <c r="E58" s="117"/>
      <c r="F58" s="131"/>
      <c r="G58" s="117"/>
      <c r="H58" s="132"/>
      <c r="I58" s="132"/>
      <c r="J58" s="132"/>
      <c r="K58" s="206"/>
      <c r="L58" s="126" t="str">
        <f>"    - "&amp;데이터입력!Z76</f>
        <v xml:space="preserve">    - </v>
      </c>
      <c r="M58" s="210"/>
      <c r="N58" s="123">
        <f>데이터입력!AA76</f>
        <v>0</v>
      </c>
      <c r="O58" s="120" t="str">
        <f>IF(P58="","","x ")</f>
        <v/>
      </c>
      <c r="P58" s="124"/>
      <c r="Q58" s="120" t="s">
        <v>404</v>
      </c>
      <c r="R58" s="125">
        <f>R57</f>
        <v>12</v>
      </c>
      <c r="S58" s="120"/>
      <c r="T58" s="120" t="s">
        <v>405</v>
      </c>
      <c r="U58" s="120"/>
      <c r="V58" s="121"/>
      <c r="W58" s="121">
        <f t="shared" ref="W58:W59" si="23">IF(P58="",N58*R58,N58*P58*R58)</f>
        <v>0</v>
      </c>
      <c r="X58" s="121"/>
      <c r="Y58" s="121"/>
    </row>
    <row r="59" spans="1:26" hidden="1">
      <c r="A59" s="117"/>
      <c r="B59" s="117"/>
      <c r="C59" s="117"/>
      <c r="D59" s="133"/>
      <c r="E59" s="133"/>
      <c r="F59" s="134"/>
      <c r="G59" s="133"/>
      <c r="H59" s="135"/>
      <c r="I59" s="135"/>
      <c r="J59" s="135"/>
      <c r="K59" s="207"/>
      <c r="L59" s="129" t="str">
        <f>"    - "&amp;데이터입력!Z77</f>
        <v xml:space="preserve">    - </v>
      </c>
      <c r="M59" s="136"/>
      <c r="N59" s="137">
        <f>데이터입력!AA77</f>
        <v>0</v>
      </c>
      <c r="O59" s="130" t="s">
        <v>404</v>
      </c>
      <c r="P59" s="138"/>
      <c r="Q59" s="130" t="s">
        <v>404</v>
      </c>
      <c r="R59" s="139">
        <f>데이터입력!$Y$8</f>
        <v>12</v>
      </c>
      <c r="S59" s="130"/>
      <c r="T59" s="130" t="s">
        <v>405</v>
      </c>
      <c r="U59" s="130"/>
      <c r="V59" s="140"/>
      <c r="W59" s="140">
        <f t="shared" si="23"/>
        <v>0</v>
      </c>
      <c r="X59" s="140"/>
      <c r="Y59" s="140"/>
    </row>
    <row r="60" spans="1:26">
      <c r="A60" s="117"/>
      <c r="B60" s="117"/>
      <c r="C60" s="117"/>
      <c r="D60" s="107" t="s">
        <v>15</v>
      </c>
      <c r="E60" s="107">
        <v>404010101</v>
      </c>
      <c r="F60" s="108" t="s">
        <v>407</v>
      </c>
      <c r="G60" s="107" t="s">
        <v>408</v>
      </c>
      <c r="H60" s="109">
        <f>IFERROR(IF(VLOOKUP(K60,데이터입력!$C$3:$L$40,5,FALSE)&lt;1000,ROUNDUP(VLOOKUP(K60,데이터입력!$C$3:$L$40,5,FALSE)*1/1000,0),ROUND(VLOOKUP(K60,데이터입력!$C$3:$L$40,5,FALSE)*1/1000,0)),0)</f>
        <v>0</v>
      </c>
      <c r="I60" s="109">
        <f>IFERROR(IF(F60="06",IF(V60&lt;1000,ROUNDUP((V60)*1/1000,0),ROUND((V60)*1/1000,0)),IF(F60="07",IF(W60&lt;1000,ROUNDUP((W60)*1/1000,0),ROUND((W60)*1/1000,0)),IF(F60="05",IF(X60&lt;1000,ROUNDUP((X60)*1/1000,0),ROUND((X60)*1/1000,0))))),0)</f>
        <v>0</v>
      </c>
      <c r="J60" s="110">
        <f>I60-H60</f>
        <v>0</v>
      </c>
      <c r="K60" s="110" t="str">
        <f>D60&amp;"("&amp;G60&amp;")"</f>
        <v>시도보조금(수익사업)</v>
      </c>
      <c r="L60" s="222" t="str">
        <f>D60</f>
        <v>시도보조금</v>
      </c>
      <c r="M60" s="221"/>
      <c r="N60" s="113"/>
      <c r="O60" s="114"/>
      <c r="P60" s="113"/>
      <c r="Q60" s="114"/>
      <c r="R60" s="113"/>
      <c r="S60" s="114"/>
      <c r="T60" s="114"/>
      <c r="U60" s="114"/>
      <c r="V60" s="115">
        <f>SUM(V61:V63)</f>
        <v>0</v>
      </c>
      <c r="W60" s="115"/>
      <c r="X60" s="115"/>
      <c r="Y60" s="115">
        <f>SUM(V60:X60)</f>
        <v>0</v>
      </c>
      <c r="Z60" s="97">
        <f>IFERROR(VLOOKUP(L60,데이터입력!$R$35:$T$56,3,FALSE),0)</f>
        <v>0</v>
      </c>
    </row>
    <row r="61" spans="1:26">
      <c r="A61" s="117"/>
      <c r="B61" s="117"/>
      <c r="C61" s="117"/>
      <c r="D61" s="117"/>
      <c r="E61" s="117"/>
      <c r="F61" s="131"/>
      <c r="G61" s="117"/>
      <c r="H61" s="132"/>
      <c r="I61" s="132"/>
      <c r="J61" s="132"/>
      <c r="K61" s="206"/>
      <c r="L61" s="126" t="str">
        <f>"    - "&amp;데이터입력!AB25</f>
        <v xml:space="preserve">    - 시도보조금</v>
      </c>
      <c r="M61" s="210"/>
      <c r="N61" s="123">
        <f>데이터입력!AC25</f>
        <v>0</v>
      </c>
      <c r="O61" s="120" t="str">
        <f t="shared" ref="O61:O62" si="24">IF(P61="","","x ")</f>
        <v/>
      </c>
      <c r="P61" s="124"/>
      <c r="Q61" s="120" t="s">
        <v>404</v>
      </c>
      <c r="R61" s="125">
        <f>IF(VLOOKUP(L60,데이터입력!$R$35:$U$56,4,FALSE)="",데이터입력!$Y$8,VLOOKUP(L60,데이터입력!$R$35:$U$56,4,FALSE))</f>
        <v>12</v>
      </c>
      <c r="S61" s="120"/>
      <c r="T61" s="120" t="s">
        <v>405</v>
      </c>
      <c r="U61" s="120"/>
      <c r="V61" s="121">
        <f>IF(P61=0,N61*R61,N61*P61*R61)</f>
        <v>0</v>
      </c>
      <c r="W61" s="121"/>
      <c r="X61" s="121"/>
      <c r="Y61" s="121"/>
    </row>
    <row r="62" spans="1:26">
      <c r="A62" s="117"/>
      <c r="B62" s="117"/>
      <c r="C62" s="117"/>
      <c r="D62" s="117"/>
      <c r="E62" s="117"/>
      <c r="F62" s="131"/>
      <c r="G62" s="117"/>
      <c r="H62" s="132"/>
      <c r="I62" s="132"/>
      <c r="J62" s="132"/>
      <c r="K62" s="206"/>
      <c r="L62" s="126" t="str">
        <f>"    - "&amp;데이터입력!AB26</f>
        <v xml:space="preserve">    - </v>
      </c>
      <c r="M62" s="210"/>
      <c r="N62" s="123">
        <f>데이터입력!AC26</f>
        <v>0</v>
      </c>
      <c r="O62" s="120" t="str">
        <f t="shared" si="24"/>
        <v/>
      </c>
      <c r="P62" s="124"/>
      <c r="Q62" s="120" t="s">
        <v>404</v>
      </c>
      <c r="R62" s="125">
        <f>R61</f>
        <v>12</v>
      </c>
      <c r="S62" s="120"/>
      <c r="T62" s="120" t="s">
        <v>405</v>
      </c>
      <c r="U62" s="120"/>
      <c r="V62" s="121">
        <f>IF(P62=0,N62*R62,N62*P62*R62)</f>
        <v>0</v>
      </c>
      <c r="W62" s="121"/>
      <c r="X62" s="121"/>
      <c r="Y62" s="121"/>
    </row>
    <row r="63" spans="1:26" hidden="1">
      <c r="A63" s="117"/>
      <c r="B63" s="117"/>
      <c r="C63" s="117"/>
      <c r="D63" s="133"/>
      <c r="E63" s="133"/>
      <c r="F63" s="134"/>
      <c r="G63" s="133"/>
      <c r="H63" s="135"/>
      <c r="I63" s="135"/>
      <c r="J63" s="135"/>
      <c r="K63" s="207"/>
      <c r="L63" s="129" t="str">
        <f>"    - "&amp;데이터입력!AB27</f>
        <v xml:space="preserve">    - </v>
      </c>
      <c r="M63" s="136"/>
      <c r="N63" s="137">
        <f>데이터입력!AC27</f>
        <v>0</v>
      </c>
      <c r="O63" s="130" t="s">
        <v>404</v>
      </c>
      <c r="P63" s="138"/>
      <c r="Q63" s="130" t="s">
        <v>404</v>
      </c>
      <c r="R63" s="139">
        <f>데이터입력!$Y$8</f>
        <v>12</v>
      </c>
      <c r="S63" s="130"/>
      <c r="T63" s="130" t="s">
        <v>405</v>
      </c>
      <c r="U63" s="130"/>
      <c r="V63" s="140">
        <f>IF(P63=0,N63*R63,N63*P63*R63)</f>
        <v>0</v>
      </c>
      <c r="W63" s="140"/>
      <c r="X63" s="140"/>
      <c r="Y63" s="140"/>
    </row>
    <row r="64" spans="1:26">
      <c r="A64" s="117"/>
      <c r="B64" s="117"/>
      <c r="C64" s="107" t="s">
        <v>16</v>
      </c>
      <c r="D64" s="107" t="s">
        <v>16</v>
      </c>
      <c r="E64" s="107">
        <v>404010301</v>
      </c>
      <c r="F64" s="108" t="s">
        <v>84</v>
      </c>
      <c r="G64" s="107" t="s">
        <v>14</v>
      </c>
      <c r="H64" s="109">
        <f>IFERROR(IF(VLOOKUP(K64,데이터입력!$C$3:$L$40,5,FALSE)&lt;1000,ROUNDUP(VLOOKUP(K64,데이터입력!$C$3:$L$40,5,FALSE)*1/1000,0),ROUND(VLOOKUP(K64,데이터입력!$C$3:$L$40,5,FALSE)*1/1000,0)),0)</f>
        <v>56400</v>
      </c>
      <c r="I64" s="109">
        <f>IFERROR(IF(F64="06",IF(V64&lt;1000,ROUNDUP((V64)*1/1000,0),ROUND((V64)*1/1000,0)),IF(F64="07",IF(W64&lt;1000,ROUNDUP((W64)*1/1000,0),ROUND((W64)*1/1000,0)),IF(F64="05",IF(X64&lt;1000,ROUNDUP((X64)*1/1000,0),ROUND((X64)*1/1000,0))))),0)</f>
        <v>59280</v>
      </c>
      <c r="J64" s="110">
        <f>I64-H64</f>
        <v>2880</v>
      </c>
      <c r="K64" s="110" t="str">
        <f>D64&amp;"("&amp;G64&amp;")"</f>
        <v>시군구보조금(보조금)</v>
      </c>
      <c r="L64" s="111" t="str">
        <f>D64</f>
        <v>시군구보조금</v>
      </c>
      <c r="M64" s="221"/>
      <c r="N64" s="113"/>
      <c r="O64" s="114"/>
      <c r="P64" s="113"/>
      <c r="Q64" s="114"/>
      <c r="R64" s="113"/>
      <c r="S64" s="114"/>
      <c r="T64" s="114"/>
      <c r="U64" s="114"/>
      <c r="V64" s="115"/>
      <c r="W64" s="115">
        <f>SUM(W65:W71)</f>
        <v>59280000</v>
      </c>
      <c r="X64" s="115"/>
      <c r="Y64" s="115">
        <f>SUM(V64:X64)</f>
        <v>59280000</v>
      </c>
      <c r="Z64" s="97">
        <f>IFERROR(VLOOKUP(L64,데이터입력!$R$57:$T$62,3,FALSE),0)</f>
        <v>59280000</v>
      </c>
    </row>
    <row r="65" spans="1:26">
      <c r="A65" s="117"/>
      <c r="B65" s="117"/>
      <c r="C65" s="117"/>
      <c r="D65" s="117"/>
      <c r="E65" s="117"/>
      <c r="F65" s="131"/>
      <c r="G65" s="117"/>
      <c r="H65" s="132"/>
      <c r="I65" s="132"/>
      <c r="J65" s="132"/>
      <c r="K65" s="206"/>
      <c r="L65" s="126" t="str">
        <f>"    - "&amp;데이터입력!R4</f>
        <v xml:space="preserve">    - 시군구보조금</v>
      </c>
      <c r="M65" s="210"/>
      <c r="N65" s="123">
        <f>데이터입력!$T$4</f>
        <v>400000</v>
      </c>
      <c r="O65" s="120" t="str">
        <f t="shared" ref="O65:O70" si="25">IF(P65="","","x ")</f>
        <v xml:space="preserve">x </v>
      </c>
      <c r="P65" s="124">
        <f>데이터입력!$U$4</f>
        <v>12</v>
      </c>
      <c r="Q65" s="120" t="s">
        <v>404</v>
      </c>
      <c r="R65" s="125">
        <f>데이터입력!$Y$8</f>
        <v>12</v>
      </c>
      <c r="S65" s="120"/>
      <c r="T65" s="120" t="s">
        <v>405</v>
      </c>
      <c r="U65" s="120"/>
      <c r="V65" s="121"/>
      <c r="W65" s="121">
        <f>IFERROR(N65*P65*R65,0)</f>
        <v>57600000</v>
      </c>
      <c r="X65" s="121"/>
      <c r="Y65" s="121"/>
    </row>
    <row r="66" spans="1:26">
      <c r="A66" s="117"/>
      <c r="B66" s="117"/>
      <c r="C66" s="117"/>
      <c r="D66" s="117"/>
      <c r="E66" s="117"/>
      <c r="F66" s="131"/>
      <c r="G66" s="117"/>
      <c r="H66" s="132"/>
      <c r="I66" s="132"/>
      <c r="J66" s="132"/>
      <c r="K66" s="206"/>
      <c r="L66" s="126" t="str">
        <f>"    - "&amp;데이터입력!R5</f>
        <v xml:space="preserve">    - 월동대책비</v>
      </c>
      <c r="M66" s="210"/>
      <c r="N66" s="123">
        <f>데이터입력!$T$5</f>
        <v>40000</v>
      </c>
      <c r="O66" s="120" t="str">
        <f t="shared" si="25"/>
        <v xml:space="preserve">x </v>
      </c>
      <c r="P66" s="124">
        <f>데이터입력!$U$4</f>
        <v>12</v>
      </c>
      <c r="Q66" s="120" t="s">
        <v>404</v>
      </c>
      <c r="R66" s="223">
        <f>데이터입력!$V$5</f>
        <v>1</v>
      </c>
      <c r="S66" s="120"/>
      <c r="T66" s="120" t="s">
        <v>405</v>
      </c>
      <c r="U66" s="120"/>
      <c r="V66" s="121"/>
      <c r="W66" s="121">
        <f t="shared" ref="W66:W67" si="26">IFERROR(N66*P66*R66,0)</f>
        <v>480000</v>
      </c>
      <c r="X66" s="121"/>
      <c r="Y66" s="121"/>
    </row>
    <row r="67" spans="1:26">
      <c r="A67" s="117"/>
      <c r="B67" s="117"/>
      <c r="C67" s="117"/>
      <c r="D67" s="117"/>
      <c r="E67" s="117"/>
      <c r="F67" s="131"/>
      <c r="G67" s="117"/>
      <c r="H67" s="132"/>
      <c r="I67" s="132"/>
      <c r="J67" s="132"/>
      <c r="K67" s="206"/>
      <c r="L67" s="126" t="str">
        <f>"    - "&amp;데이터입력!R6</f>
        <v xml:space="preserve">    - 특별위로금</v>
      </c>
      <c r="M67" s="210"/>
      <c r="N67" s="123">
        <f>데이터입력!$T$6</f>
        <v>50000</v>
      </c>
      <c r="O67" s="120" t="str">
        <f t="shared" si="25"/>
        <v xml:space="preserve">x </v>
      </c>
      <c r="P67" s="124">
        <f>데이터입력!$U$4</f>
        <v>12</v>
      </c>
      <c r="Q67" s="120" t="s">
        <v>404</v>
      </c>
      <c r="R67" s="223">
        <f>데이터입력!$V$6</f>
        <v>2</v>
      </c>
      <c r="S67" s="120"/>
      <c r="T67" s="120" t="s">
        <v>405</v>
      </c>
      <c r="U67" s="120"/>
      <c r="V67" s="121"/>
      <c r="W67" s="121">
        <f t="shared" si="26"/>
        <v>1200000</v>
      </c>
      <c r="X67" s="121"/>
      <c r="Y67" s="121"/>
    </row>
    <row r="68" spans="1:26">
      <c r="A68" s="117"/>
      <c r="B68" s="117"/>
      <c r="C68" s="117"/>
      <c r="D68" s="117"/>
      <c r="E68" s="117"/>
      <c r="F68" s="131"/>
      <c r="G68" s="117"/>
      <c r="H68" s="132"/>
      <c r="I68" s="132"/>
      <c r="J68" s="132"/>
      <c r="K68" s="206"/>
      <c r="L68" s="126" t="str">
        <f>"    - "&amp;데이터입력!X83</f>
        <v xml:space="preserve">    - </v>
      </c>
      <c r="M68" s="210"/>
      <c r="N68" s="123">
        <f>데이터입력!Y83</f>
        <v>0</v>
      </c>
      <c r="O68" s="120" t="str">
        <f t="shared" si="25"/>
        <v/>
      </c>
      <c r="P68" s="124"/>
      <c r="Q68" s="120" t="s">
        <v>404</v>
      </c>
      <c r="R68" s="125">
        <f>데이터입력!Z83</f>
        <v>1</v>
      </c>
      <c r="S68" s="120"/>
      <c r="T68" s="120" t="s">
        <v>405</v>
      </c>
      <c r="U68" s="120"/>
      <c r="V68" s="121"/>
      <c r="W68" s="121">
        <f t="shared" ref="W68:W70" si="27">IF(P68="",N68*R68,N68*P68*R68)</f>
        <v>0</v>
      </c>
      <c r="X68" s="121"/>
      <c r="Y68" s="121"/>
    </row>
    <row r="69" spans="1:26">
      <c r="A69" s="117"/>
      <c r="B69" s="117"/>
      <c r="C69" s="117"/>
      <c r="D69" s="117"/>
      <c r="E69" s="117"/>
      <c r="F69" s="131"/>
      <c r="G69" s="117"/>
      <c r="H69" s="132"/>
      <c r="I69" s="132"/>
      <c r="J69" s="132"/>
      <c r="K69" s="206"/>
      <c r="L69" s="126" t="str">
        <f>"    - "&amp;데이터입력!X84</f>
        <v xml:space="preserve">    - </v>
      </c>
      <c r="M69" s="210"/>
      <c r="N69" s="123">
        <f>데이터입력!Y84</f>
        <v>0</v>
      </c>
      <c r="O69" s="120" t="str">
        <f t="shared" si="25"/>
        <v/>
      </c>
      <c r="P69" s="124"/>
      <c r="Q69" s="120" t="s">
        <v>404</v>
      </c>
      <c r="R69" s="125">
        <f>데이터입력!Z84</f>
        <v>1</v>
      </c>
      <c r="S69" s="120"/>
      <c r="T69" s="120" t="s">
        <v>405</v>
      </c>
      <c r="U69" s="120"/>
      <c r="V69" s="121"/>
      <c r="W69" s="121">
        <f t="shared" si="27"/>
        <v>0</v>
      </c>
      <c r="X69" s="121"/>
      <c r="Y69" s="121"/>
    </row>
    <row r="70" spans="1:26">
      <c r="A70" s="117"/>
      <c r="B70" s="117"/>
      <c r="C70" s="117"/>
      <c r="D70" s="117"/>
      <c r="E70" s="117"/>
      <c r="F70" s="131"/>
      <c r="G70" s="117"/>
      <c r="H70" s="132"/>
      <c r="I70" s="132"/>
      <c r="J70" s="132"/>
      <c r="K70" s="206"/>
      <c r="L70" s="126" t="str">
        <f>"    - "&amp;데이터입력!X85</f>
        <v xml:space="preserve">    - </v>
      </c>
      <c r="M70" s="210"/>
      <c r="N70" s="123">
        <f>데이터입력!Y85</f>
        <v>0</v>
      </c>
      <c r="O70" s="120" t="str">
        <f t="shared" si="25"/>
        <v/>
      </c>
      <c r="P70" s="124"/>
      <c r="Q70" s="120" t="s">
        <v>404</v>
      </c>
      <c r="R70" s="125">
        <f>데이터입력!Z85</f>
        <v>1</v>
      </c>
      <c r="S70" s="120"/>
      <c r="T70" s="120" t="s">
        <v>405</v>
      </c>
      <c r="U70" s="120"/>
      <c r="V70" s="121"/>
      <c r="W70" s="121">
        <f t="shared" si="27"/>
        <v>0</v>
      </c>
      <c r="X70" s="121"/>
      <c r="Y70" s="121"/>
    </row>
    <row r="71" spans="1:26" hidden="1">
      <c r="A71" s="117"/>
      <c r="B71" s="117"/>
      <c r="C71" s="117"/>
      <c r="D71" s="117"/>
      <c r="E71" s="117"/>
      <c r="F71" s="131"/>
      <c r="G71" s="117"/>
      <c r="H71" s="132"/>
      <c r="I71" s="132"/>
      <c r="J71" s="132"/>
      <c r="K71" s="206"/>
      <c r="L71" s="126"/>
      <c r="M71" s="210"/>
      <c r="N71" s="123"/>
      <c r="O71" s="120"/>
      <c r="P71" s="124"/>
      <c r="Q71" s="120"/>
      <c r="R71" s="223"/>
      <c r="S71" s="120"/>
      <c r="T71" s="120"/>
      <c r="U71" s="120"/>
      <c r="V71" s="121"/>
      <c r="W71" s="121"/>
      <c r="X71" s="121"/>
      <c r="Y71" s="121"/>
    </row>
    <row r="72" spans="1:26">
      <c r="A72" s="117"/>
      <c r="B72" s="117"/>
      <c r="C72" s="117"/>
      <c r="D72" s="107" t="s">
        <v>16</v>
      </c>
      <c r="E72" s="107">
        <v>404010301</v>
      </c>
      <c r="F72" s="108" t="s">
        <v>407</v>
      </c>
      <c r="G72" s="107" t="s">
        <v>408</v>
      </c>
      <c r="H72" s="109">
        <f>IFERROR(IF(VLOOKUP(K72,데이터입력!$C$3:$L$40,5,FALSE)&lt;1000,ROUNDUP(VLOOKUP(K72,데이터입력!$C$3:$L$40,5,FALSE)*1/1000,0),ROUND(VLOOKUP(K72,데이터입력!$C$3:$L$40,5,FALSE)*1/1000,0)),0)</f>
        <v>0</v>
      </c>
      <c r="I72" s="109">
        <f>IFERROR(IF(F72="06",IF(V72&lt;1000,ROUNDUP((V72)*1/1000,0),ROUND((V72)*1/1000,0)),IF(F72="07",IF(W72&lt;1000,ROUNDUP((W72)*1/1000,0),ROUND((W72)*1/1000,0)),IF(F72="05",IF(X72&lt;1000,ROUNDUP((X72)*1/1000,0),ROUND((X72)*1/1000,0))))),0)</f>
        <v>0</v>
      </c>
      <c r="J72" s="110">
        <f>I72-H72</f>
        <v>0</v>
      </c>
      <c r="K72" s="110" t="str">
        <f>D72&amp;"("&amp;G72&amp;")"</f>
        <v>시군구보조금(수익사업)</v>
      </c>
      <c r="L72" s="222" t="str">
        <f>D72</f>
        <v>시군구보조금</v>
      </c>
      <c r="M72" s="221"/>
      <c r="N72" s="113"/>
      <c r="O72" s="114"/>
      <c r="P72" s="113"/>
      <c r="Q72" s="114"/>
      <c r="R72" s="113"/>
      <c r="S72" s="114"/>
      <c r="T72" s="114"/>
      <c r="U72" s="114"/>
      <c r="V72" s="115">
        <f>SUM(V73:V75)</f>
        <v>0</v>
      </c>
      <c r="W72" s="115"/>
      <c r="X72" s="115"/>
      <c r="Y72" s="115">
        <f>SUM(V72:X72)</f>
        <v>0</v>
      </c>
      <c r="Z72" s="97">
        <f>IFERROR(VLOOKUP(L72,데이터입력!$R$35:$T$56,3,FALSE),0)</f>
        <v>0</v>
      </c>
    </row>
    <row r="73" spans="1:26">
      <c r="A73" s="117"/>
      <c r="B73" s="117"/>
      <c r="C73" s="117"/>
      <c r="D73" s="117"/>
      <c r="E73" s="117"/>
      <c r="F73" s="131"/>
      <c r="G73" s="117"/>
      <c r="H73" s="132"/>
      <c r="I73" s="132"/>
      <c r="J73" s="132"/>
      <c r="K73" s="206"/>
      <c r="L73" s="126" t="str">
        <f>"    - "&amp;데이터입력!Z29</f>
        <v xml:space="preserve">    - 시군구보조금</v>
      </c>
      <c r="M73" s="210"/>
      <c r="N73" s="123">
        <f>데이터입력!AA29</f>
        <v>0</v>
      </c>
      <c r="O73" s="120" t="str">
        <f t="shared" ref="O73:O74" si="28">IF(P73="","","x ")</f>
        <v/>
      </c>
      <c r="P73" s="124"/>
      <c r="Q73" s="120" t="s">
        <v>404</v>
      </c>
      <c r="R73" s="125">
        <f>IF(VLOOKUP(L72,데이터입력!$R$35:$U$56,4,FALSE)="",데이터입력!$Y$8,VLOOKUP(L72,데이터입력!$R$35:$U$56,4,FALSE))</f>
        <v>12</v>
      </c>
      <c r="S73" s="120"/>
      <c r="T73" s="120" t="s">
        <v>405</v>
      </c>
      <c r="U73" s="120"/>
      <c r="V73" s="121">
        <f>IF(P73=0,N73*R73,N73*P73*R73)</f>
        <v>0</v>
      </c>
      <c r="W73" s="121"/>
      <c r="X73" s="121"/>
      <c r="Y73" s="121"/>
    </row>
    <row r="74" spans="1:26">
      <c r="A74" s="117"/>
      <c r="B74" s="117"/>
      <c r="C74" s="117"/>
      <c r="D74" s="117"/>
      <c r="E74" s="117"/>
      <c r="F74" s="131"/>
      <c r="G74" s="117"/>
      <c r="H74" s="132"/>
      <c r="I74" s="132"/>
      <c r="J74" s="132"/>
      <c r="K74" s="206"/>
      <c r="L74" s="126" t="str">
        <f>"    - "&amp;데이터입력!Z30</f>
        <v xml:space="preserve">    - </v>
      </c>
      <c r="M74" s="210"/>
      <c r="N74" s="123">
        <f>데이터입력!AA30</f>
        <v>0</v>
      </c>
      <c r="O74" s="120" t="str">
        <f t="shared" si="28"/>
        <v/>
      </c>
      <c r="P74" s="124"/>
      <c r="Q74" s="120" t="s">
        <v>404</v>
      </c>
      <c r="R74" s="125">
        <f>R73</f>
        <v>12</v>
      </c>
      <c r="S74" s="120"/>
      <c r="T74" s="120" t="s">
        <v>405</v>
      </c>
      <c r="U74" s="120"/>
      <c r="V74" s="121">
        <f>IF(P74=0,N74*R74,N74*P74*R74)</f>
        <v>0</v>
      </c>
      <c r="W74" s="121"/>
      <c r="X74" s="121"/>
      <c r="Y74" s="121"/>
    </row>
    <row r="75" spans="1:26" hidden="1">
      <c r="A75" s="117"/>
      <c r="B75" s="117"/>
      <c r="C75" s="117"/>
      <c r="D75" s="133"/>
      <c r="E75" s="133"/>
      <c r="F75" s="134"/>
      <c r="G75" s="133"/>
      <c r="H75" s="135"/>
      <c r="I75" s="135"/>
      <c r="J75" s="135"/>
      <c r="K75" s="207"/>
      <c r="L75" s="129" t="str">
        <f>"    - "&amp;데이터입력!Z31</f>
        <v xml:space="preserve">    - </v>
      </c>
      <c r="M75" s="136"/>
      <c r="N75" s="137">
        <f>데이터입력!AA31</f>
        <v>0</v>
      </c>
      <c r="O75" s="130" t="s">
        <v>404</v>
      </c>
      <c r="P75" s="138"/>
      <c r="Q75" s="130" t="s">
        <v>404</v>
      </c>
      <c r="R75" s="139">
        <f>데이터입력!$Y$8</f>
        <v>12</v>
      </c>
      <c r="S75" s="130"/>
      <c r="T75" s="130" t="s">
        <v>405</v>
      </c>
      <c r="U75" s="130"/>
      <c r="V75" s="140">
        <f>IF(P75=0,N75*R75,N75*P75*R75)</f>
        <v>0</v>
      </c>
      <c r="W75" s="140"/>
      <c r="X75" s="140"/>
      <c r="Y75" s="140"/>
    </row>
    <row r="76" spans="1:26">
      <c r="A76" s="117"/>
      <c r="B76" s="117"/>
      <c r="C76" s="107" t="s">
        <v>17</v>
      </c>
      <c r="D76" s="107" t="s">
        <v>17</v>
      </c>
      <c r="E76" s="107">
        <v>404010401</v>
      </c>
      <c r="F76" s="108" t="s">
        <v>84</v>
      </c>
      <c r="G76" s="107" t="s">
        <v>14</v>
      </c>
      <c r="H76" s="109">
        <f>IFERROR(IF(VLOOKUP(K76,데이터입력!$C$3:$L$40,5,FALSE)&lt;1000,ROUNDUP(VLOOKUP(K76,데이터입력!$C$3:$L$40,5,FALSE)*1/1000,0),ROUND(VLOOKUP(K76,데이터입력!$C$3:$L$40,5,FALSE)*1/1000,0)),0)</f>
        <v>0</v>
      </c>
      <c r="I76" s="109">
        <f>IFERROR(IF(F76="06",IF(V76&lt;1000,ROUNDUP((V76)*1/1000,0),ROUND((V76)*1/1000,0)),IF(F76="07",IF(W76&lt;1000,ROUNDUP((W76)*1/1000,0),ROUND((W76)*1/1000,0)),IF(F76="05",IF(X76&lt;1000,ROUNDUP((X76)*1/1000,0),ROUND((X76)*1/1000,0))))),0)</f>
        <v>0</v>
      </c>
      <c r="J76" s="110">
        <f>I76-H76</f>
        <v>0</v>
      </c>
      <c r="K76" s="110" t="str">
        <f>D76&amp;"("&amp;G76&amp;")"</f>
        <v>기타보조금(보조금)</v>
      </c>
      <c r="L76" s="111" t="str">
        <f>D76</f>
        <v>기타보조금</v>
      </c>
      <c r="M76" s="221"/>
      <c r="N76" s="113"/>
      <c r="O76" s="114"/>
      <c r="P76" s="113"/>
      <c r="Q76" s="114"/>
      <c r="R76" s="113"/>
      <c r="S76" s="114"/>
      <c r="T76" s="114"/>
      <c r="U76" s="114"/>
      <c r="V76" s="115"/>
      <c r="W76" s="115">
        <f>SUM(W77:W79)</f>
        <v>0</v>
      </c>
      <c r="X76" s="115"/>
      <c r="Y76" s="115">
        <f>SUM(V76:X76)</f>
        <v>0</v>
      </c>
      <c r="Z76" s="97">
        <f>IFERROR(VLOOKUP(L76,데이터입력!$R$57:$T$62,3,FALSE),0)</f>
        <v>0</v>
      </c>
    </row>
    <row r="77" spans="1:26">
      <c r="A77" s="117"/>
      <c r="B77" s="117"/>
      <c r="C77" s="117"/>
      <c r="D77" s="117"/>
      <c r="E77" s="117"/>
      <c r="F77" s="131"/>
      <c r="G77" s="117"/>
      <c r="H77" s="132"/>
      <c r="I77" s="132"/>
      <c r="J77" s="132"/>
      <c r="K77" s="206"/>
      <c r="L77" s="126" t="str">
        <f>"    - "&amp;데이터입력!AB75</f>
        <v xml:space="preserve">    - 기타보조금</v>
      </c>
      <c r="M77" s="210"/>
      <c r="N77" s="123">
        <f>데이터입력!AC75</f>
        <v>0</v>
      </c>
      <c r="O77" s="120" t="str">
        <f t="shared" ref="O77:O78" si="29">IF(P77="","","x ")</f>
        <v/>
      </c>
      <c r="P77" s="124"/>
      <c r="Q77" s="120" t="s">
        <v>404</v>
      </c>
      <c r="R77" s="125">
        <f>IF(VLOOKUP(L76,데이터입력!$R$57:$U$62,4,FALSE)="",데이터입력!$Y$8,VLOOKUP(L76,데이터입력!$R$57:$U$62,4,FALSE))</f>
        <v>12</v>
      </c>
      <c r="S77" s="120"/>
      <c r="T77" s="120" t="s">
        <v>405</v>
      </c>
      <c r="U77" s="120"/>
      <c r="V77" s="121"/>
      <c r="W77" s="121">
        <f t="shared" ref="W77:W79" si="30">IF(P77="",N77*R77,N77*P77*R77)</f>
        <v>0</v>
      </c>
      <c r="X77" s="121"/>
      <c r="Y77" s="121"/>
    </row>
    <row r="78" spans="1:26">
      <c r="A78" s="117"/>
      <c r="B78" s="117"/>
      <c r="C78" s="117"/>
      <c r="D78" s="117"/>
      <c r="E78" s="117"/>
      <c r="F78" s="131"/>
      <c r="G78" s="117"/>
      <c r="H78" s="132"/>
      <c r="I78" s="132"/>
      <c r="J78" s="132"/>
      <c r="K78" s="206"/>
      <c r="L78" s="126" t="str">
        <f>"    - "&amp;데이터입력!AB76</f>
        <v xml:space="preserve">    - </v>
      </c>
      <c r="M78" s="210"/>
      <c r="N78" s="123">
        <f>데이터입력!AC76</f>
        <v>0</v>
      </c>
      <c r="O78" s="120" t="str">
        <f t="shared" si="29"/>
        <v/>
      </c>
      <c r="P78" s="124"/>
      <c r="Q78" s="120" t="s">
        <v>404</v>
      </c>
      <c r="R78" s="125">
        <f>R77</f>
        <v>12</v>
      </c>
      <c r="S78" s="120"/>
      <c r="T78" s="120" t="s">
        <v>405</v>
      </c>
      <c r="U78" s="120"/>
      <c r="V78" s="121"/>
      <c r="W78" s="121">
        <f t="shared" si="30"/>
        <v>0</v>
      </c>
      <c r="X78" s="121"/>
      <c r="Y78" s="121"/>
    </row>
    <row r="79" spans="1:26" hidden="1">
      <c r="A79" s="117"/>
      <c r="B79" s="117"/>
      <c r="C79" s="117"/>
      <c r="D79" s="133"/>
      <c r="E79" s="133"/>
      <c r="F79" s="134"/>
      <c r="G79" s="133"/>
      <c r="H79" s="135"/>
      <c r="I79" s="135"/>
      <c r="J79" s="135"/>
      <c r="K79" s="207"/>
      <c r="L79" s="129" t="str">
        <f>"    - "&amp;데이터입력!AB77</f>
        <v xml:space="preserve">    - </v>
      </c>
      <c r="M79" s="136"/>
      <c r="N79" s="137">
        <f>데이터입력!AC77</f>
        <v>0</v>
      </c>
      <c r="O79" s="130" t="s">
        <v>404</v>
      </c>
      <c r="P79" s="138"/>
      <c r="Q79" s="130" t="s">
        <v>404</v>
      </c>
      <c r="R79" s="139">
        <f>데이터입력!$Y$8</f>
        <v>12</v>
      </c>
      <c r="S79" s="130"/>
      <c r="T79" s="130" t="s">
        <v>405</v>
      </c>
      <c r="U79" s="130"/>
      <c r="V79" s="140"/>
      <c r="W79" s="140">
        <f t="shared" si="30"/>
        <v>0</v>
      </c>
      <c r="X79" s="140"/>
      <c r="Y79" s="140"/>
    </row>
    <row r="80" spans="1:26">
      <c r="A80" s="117"/>
      <c r="B80" s="117"/>
      <c r="C80" s="117"/>
      <c r="D80" s="107" t="s">
        <v>17</v>
      </c>
      <c r="E80" s="107">
        <v>404010401</v>
      </c>
      <c r="F80" s="108" t="s">
        <v>407</v>
      </c>
      <c r="G80" s="107" t="s">
        <v>408</v>
      </c>
      <c r="H80" s="109">
        <f>IFERROR(IF(VLOOKUP(K80,데이터입력!$C$3:$L$40,5,FALSE)&lt;1000,ROUNDUP(VLOOKUP(K80,데이터입력!$C$3:$L$40,5,FALSE)*1/1000,0),ROUND(VLOOKUP(K80,데이터입력!$C$3:$L$40,5,FALSE)*1/1000,0)),0)</f>
        <v>0</v>
      </c>
      <c r="I80" s="109">
        <f>IFERROR(IF(F80="06",IF(V80&lt;1000,ROUNDUP((V80)*1/1000,0),ROUND((V80)*1/1000,0)),IF(F80="07",IF(W80&lt;1000,ROUNDUP((W80)*1/1000,0),ROUND((W80)*1/1000,0)),IF(F80="05",IF(X80&lt;1000,ROUNDUP((X80)*1/1000,0),ROUND((X80)*1/1000,0))))),0)</f>
        <v>0</v>
      </c>
      <c r="J80" s="110">
        <f>I80-H80</f>
        <v>0</v>
      </c>
      <c r="K80" s="110" t="str">
        <f>D80&amp;"("&amp;G80&amp;")"</f>
        <v>기타보조금(수익사업)</v>
      </c>
      <c r="L80" s="222" t="str">
        <f>D80</f>
        <v>기타보조금</v>
      </c>
      <c r="M80" s="221"/>
      <c r="N80" s="113"/>
      <c r="O80" s="114"/>
      <c r="P80" s="113"/>
      <c r="Q80" s="114"/>
      <c r="R80" s="113"/>
      <c r="S80" s="114"/>
      <c r="T80" s="114"/>
      <c r="U80" s="114"/>
      <c r="V80" s="115">
        <f>SUM(V81:V83)</f>
        <v>0</v>
      </c>
      <c r="W80" s="115"/>
      <c r="X80" s="115"/>
      <c r="Y80" s="115">
        <f>SUM(V80:X80)</f>
        <v>0</v>
      </c>
      <c r="Z80" s="97">
        <f>IFERROR(VLOOKUP(L80,데이터입력!$R$35:$T$56,3,FALSE),0)</f>
        <v>0</v>
      </c>
    </row>
    <row r="81" spans="1:38">
      <c r="A81" s="117"/>
      <c r="B81" s="117"/>
      <c r="C81" s="117"/>
      <c r="D81" s="117"/>
      <c r="E81" s="117"/>
      <c r="F81" s="131"/>
      <c r="G81" s="117"/>
      <c r="H81" s="132"/>
      <c r="I81" s="132"/>
      <c r="J81" s="132"/>
      <c r="K81" s="206"/>
      <c r="L81" s="126" t="str">
        <f>"    - "&amp;데이터입력!AB29</f>
        <v xml:space="preserve">    - 기타보조금</v>
      </c>
      <c r="M81" s="210"/>
      <c r="N81" s="123">
        <f>데이터입력!AC29</f>
        <v>0</v>
      </c>
      <c r="O81" s="120" t="str">
        <f t="shared" ref="O81:O82" si="31">IF(P81="","","x ")</f>
        <v/>
      </c>
      <c r="P81" s="124"/>
      <c r="Q81" s="120" t="s">
        <v>404</v>
      </c>
      <c r="R81" s="125">
        <f>IF(VLOOKUP(L80,데이터입력!$R$35:$U$56,4,FALSE)="",데이터입력!$Y$8,VLOOKUP(L80,데이터입력!$R$35:$U$56,4,FALSE))</f>
        <v>12</v>
      </c>
      <c r="S81" s="120"/>
      <c r="T81" s="120" t="s">
        <v>405</v>
      </c>
      <c r="U81" s="120"/>
      <c r="V81" s="121">
        <f>IF(P81=0,N81*R81,N81*P81*R81)</f>
        <v>0</v>
      </c>
      <c r="W81" s="121"/>
      <c r="X81" s="121"/>
      <c r="Y81" s="121"/>
    </row>
    <row r="82" spans="1:38">
      <c r="A82" s="117"/>
      <c r="B82" s="117"/>
      <c r="C82" s="117"/>
      <c r="D82" s="117"/>
      <c r="E82" s="117"/>
      <c r="F82" s="131"/>
      <c r="G82" s="117"/>
      <c r="H82" s="132"/>
      <c r="I82" s="132"/>
      <c r="J82" s="132"/>
      <c r="K82" s="206"/>
      <c r="L82" s="126" t="str">
        <f>"    - "&amp;데이터입력!AB30</f>
        <v xml:space="preserve">    - </v>
      </c>
      <c r="M82" s="210"/>
      <c r="N82" s="123">
        <f>데이터입력!AC30</f>
        <v>0</v>
      </c>
      <c r="O82" s="120" t="str">
        <f t="shared" si="31"/>
        <v/>
      </c>
      <c r="P82" s="124"/>
      <c r="Q82" s="120" t="s">
        <v>404</v>
      </c>
      <c r="R82" s="125">
        <f>R81</f>
        <v>12</v>
      </c>
      <c r="S82" s="120"/>
      <c r="T82" s="120" t="s">
        <v>405</v>
      </c>
      <c r="U82" s="120"/>
      <c r="V82" s="121">
        <f>IF(P82=0,N82*R82,N82*P82*R82)</f>
        <v>0</v>
      </c>
      <c r="W82" s="121"/>
      <c r="X82" s="121"/>
      <c r="Y82" s="121"/>
    </row>
    <row r="83" spans="1:38" hidden="1">
      <c r="A83" s="117"/>
      <c r="B83" s="117"/>
      <c r="C83" s="117"/>
      <c r="D83" s="133"/>
      <c r="E83" s="133"/>
      <c r="F83" s="134"/>
      <c r="G83" s="133"/>
      <c r="H83" s="135"/>
      <c r="I83" s="135"/>
      <c r="J83" s="135"/>
      <c r="K83" s="207"/>
      <c r="L83" s="129" t="str">
        <f>"    - "&amp;데이터입력!AB31</f>
        <v xml:space="preserve">    - </v>
      </c>
      <c r="M83" s="136"/>
      <c r="N83" s="137">
        <f>데이터입력!AC31</f>
        <v>0</v>
      </c>
      <c r="O83" s="130" t="s">
        <v>404</v>
      </c>
      <c r="P83" s="138"/>
      <c r="Q83" s="130" t="s">
        <v>404</v>
      </c>
      <c r="R83" s="139">
        <f>데이터입력!$Y$8</f>
        <v>12</v>
      </c>
      <c r="S83" s="130"/>
      <c r="T83" s="130" t="s">
        <v>405</v>
      </c>
      <c r="U83" s="130"/>
      <c r="V83" s="140">
        <f>IF(P83=0,N83*R83,N83*P83*R83)</f>
        <v>0</v>
      </c>
      <c r="W83" s="140"/>
      <c r="X83" s="140"/>
      <c r="Y83" s="140"/>
    </row>
    <row r="84" spans="1:38">
      <c r="A84" s="259" t="s">
        <v>310</v>
      </c>
      <c r="B84" s="260" t="s">
        <v>310</v>
      </c>
      <c r="C84" s="262"/>
      <c r="D84" s="262"/>
      <c r="E84" s="262"/>
      <c r="F84" s="262"/>
      <c r="G84" s="262"/>
      <c r="H84" s="250">
        <f>SUM(H85,H88)</f>
        <v>0</v>
      </c>
      <c r="I84" s="250">
        <f>SUM(I85,I88)</f>
        <v>0</v>
      </c>
      <c r="J84" s="250">
        <f>SUM(J85,J88)</f>
        <v>0</v>
      </c>
      <c r="K84" s="250"/>
      <c r="L84" s="263"/>
      <c r="M84" s="263"/>
      <c r="N84" s="263"/>
      <c r="O84" s="263"/>
      <c r="P84" s="263"/>
      <c r="Q84" s="263"/>
      <c r="R84" s="263"/>
      <c r="S84" s="263"/>
      <c r="T84" s="263"/>
      <c r="U84" s="263"/>
      <c r="V84" s="273">
        <f>SUM(V85,V88)</f>
        <v>0</v>
      </c>
      <c r="W84" s="273">
        <f t="shared" ref="W84:Y84" si="32">SUM(W85,W88)</f>
        <v>0</v>
      </c>
      <c r="X84" s="273">
        <f t="shared" si="32"/>
        <v>0</v>
      </c>
      <c r="Y84" s="273">
        <f t="shared" si="32"/>
        <v>0</v>
      </c>
    </row>
    <row r="85" spans="1:38">
      <c r="A85" s="107"/>
      <c r="B85" s="107"/>
      <c r="C85" s="107" t="s">
        <v>18</v>
      </c>
      <c r="D85" s="107" t="s">
        <v>18</v>
      </c>
      <c r="E85" s="107">
        <v>405010101</v>
      </c>
      <c r="F85" s="108" t="s">
        <v>85</v>
      </c>
      <c r="G85" s="107" t="s">
        <v>19</v>
      </c>
      <c r="H85" s="109">
        <f>IFERROR(IF(VLOOKUP(K85,데이터입력!$C$3:$L$40,5,FALSE)&lt;1000,ROUNDUP(VLOOKUP(K85,데이터입력!$C$3:$L$40,5,FALSE)*1/1000,0),ROUND(VLOOKUP(K85,데이터입력!$C$3:$L$40,5,FALSE)*1/1000,0)),0)</f>
        <v>0</v>
      </c>
      <c r="I85" s="109">
        <f>IFERROR(IF(F85="06",IF(V85&lt;1000,ROUNDUP((V85)*1/1000,0),ROUND((V85)*1/1000,0)),IF(F85="07",IF(W85&lt;1000,ROUNDUP((W85)*1/1000,0),ROUND((W85)*1/1000,0)),IF(F85="05",IF(X85&lt;1000,ROUNDUP((X85)*1/1000,0),ROUND((X85)*1/1000,0))))),0)</f>
        <v>0</v>
      </c>
      <c r="J85" s="110">
        <f>I85-H85</f>
        <v>0</v>
      </c>
      <c r="K85" s="110" t="str">
        <f>D85&amp;"("&amp;G85&amp;")"</f>
        <v>지정후원금(후원금)</v>
      </c>
      <c r="L85" s="111" t="str">
        <f>D85</f>
        <v>지정후원금</v>
      </c>
      <c r="M85" s="112"/>
      <c r="N85" s="113"/>
      <c r="O85" s="114"/>
      <c r="P85" s="113"/>
      <c r="Q85" s="114"/>
      <c r="R85" s="113"/>
      <c r="S85" s="114"/>
      <c r="T85" s="114"/>
      <c r="U85" s="114"/>
      <c r="V85" s="115"/>
      <c r="W85" s="115"/>
      <c r="X85" s="115">
        <f t="shared" ref="X85" si="33">SUM(X86:X87)</f>
        <v>0</v>
      </c>
      <c r="Y85" s="115">
        <f>SUM(V85:X85)</f>
        <v>0</v>
      </c>
      <c r="Z85" s="97">
        <f>IFERROR(VLOOKUP(L85,데이터입력!$R$63:$T$68,3,FALSE),0)</f>
        <v>0</v>
      </c>
    </row>
    <row r="86" spans="1:38">
      <c r="A86" s="117"/>
      <c r="B86" s="117"/>
      <c r="C86" s="117"/>
      <c r="D86" s="117"/>
      <c r="E86" s="117"/>
      <c r="F86" s="131"/>
      <c r="G86" s="117"/>
      <c r="H86" s="132"/>
      <c r="I86" s="132"/>
      <c r="J86" s="132"/>
      <c r="K86" s="206"/>
      <c r="L86" s="126" t="str">
        <f>"    - "&amp;데이터입력!AD81</f>
        <v xml:space="preserve">    - 지정후원금</v>
      </c>
      <c r="M86" s="210"/>
      <c r="N86" s="123">
        <f>데이터입력!AE81</f>
        <v>0</v>
      </c>
      <c r="O86" s="120" t="str">
        <f t="shared" ref="O86:O87" si="34">IF(P86="","","x ")</f>
        <v/>
      </c>
      <c r="P86" s="124"/>
      <c r="Q86" s="120" t="s">
        <v>404</v>
      </c>
      <c r="R86" s="125">
        <f>IF(VLOOKUP(L85,데이터입력!$R$63:$U$68,4,FALSE)="",데이터입력!$Y$8,VLOOKUP(L85,데이터입력!$R$63:$U$68,4,FALSE))</f>
        <v>12</v>
      </c>
      <c r="S86" s="120"/>
      <c r="T86" s="120" t="s">
        <v>405</v>
      </c>
      <c r="U86" s="120"/>
      <c r="V86" s="121"/>
      <c r="W86" s="121"/>
      <c r="X86" s="121">
        <f>IF(P86="",N86*R86,N86*P86*R86)</f>
        <v>0</v>
      </c>
      <c r="Y86" s="121"/>
    </row>
    <row r="87" spans="1:38">
      <c r="A87" s="117"/>
      <c r="B87" s="117"/>
      <c r="C87" s="133"/>
      <c r="D87" s="133"/>
      <c r="E87" s="133"/>
      <c r="F87" s="134"/>
      <c r="G87" s="133"/>
      <c r="H87" s="135"/>
      <c r="I87" s="135"/>
      <c r="J87" s="135"/>
      <c r="K87" s="207"/>
      <c r="L87" s="129" t="str">
        <f>"    - "&amp;데이터입력!AD82</f>
        <v xml:space="preserve">    - </v>
      </c>
      <c r="M87" s="136"/>
      <c r="N87" s="137">
        <f>데이터입력!AE82</f>
        <v>0</v>
      </c>
      <c r="O87" s="120" t="str">
        <f t="shared" si="34"/>
        <v/>
      </c>
      <c r="P87" s="138"/>
      <c r="Q87" s="130" t="s">
        <v>404</v>
      </c>
      <c r="R87" s="139">
        <f>데이터입력!AF82</f>
        <v>12</v>
      </c>
      <c r="S87" s="130"/>
      <c r="T87" s="130" t="s">
        <v>405</v>
      </c>
      <c r="U87" s="130"/>
      <c r="V87" s="140"/>
      <c r="W87" s="140"/>
      <c r="X87" s="140">
        <f>IF(P87="",N87*R87,N87*P87*R87)</f>
        <v>0</v>
      </c>
      <c r="Y87" s="140"/>
    </row>
    <row r="88" spans="1:38">
      <c r="A88" s="117"/>
      <c r="B88" s="117"/>
      <c r="C88" s="107" t="s">
        <v>20</v>
      </c>
      <c r="D88" s="107" t="s">
        <v>20</v>
      </c>
      <c r="E88" s="107">
        <v>405010201</v>
      </c>
      <c r="F88" s="108" t="s">
        <v>85</v>
      </c>
      <c r="G88" s="107" t="s">
        <v>19</v>
      </c>
      <c r="H88" s="109">
        <f>IFERROR(IF(VLOOKUP(K88,데이터입력!$C$3:$L$40,5,FALSE)&lt;1000,ROUNDUP(VLOOKUP(K88,데이터입력!$C$3:$L$40,5,FALSE)*1/1000,0),ROUND(VLOOKUP(K88,데이터입력!$C$3:$L$40,5,FALSE)*1/1000,0)),0)</f>
        <v>0</v>
      </c>
      <c r="I88" s="109">
        <f>IFERROR(IF(F88="06",IF(V88&lt;1000,ROUNDUP((V88)*1/1000,0),ROUND((V88)*1/1000,0)),IF(F88="07",IF(W88&lt;1000,ROUNDUP((W88)*1/1000,0),ROUND((W88)*1/1000,0)),IF(F88="05",IF(X88&lt;1000,ROUNDUP((X88)*1/1000,0),ROUND((X88)*1/1000,0))))),0)</f>
        <v>0</v>
      </c>
      <c r="J88" s="110">
        <f>I88-H88</f>
        <v>0</v>
      </c>
      <c r="K88" s="110" t="str">
        <f>D88&amp;"("&amp;G88&amp;")"</f>
        <v>비지정후원금(후원금)</v>
      </c>
      <c r="L88" s="111" t="str">
        <f>D88</f>
        <v>비지정후원금</v>
      </c>
      <c r="M88" s="112"/>
      <c r="N88" s="113"/>
      <c r="O88" s="114"/>
      <c r="P88" s="113"/>
      <c r="Q88" s="114"/>
      <c r="R88" s="113"/>
      <c r="S88" s="114"/>
      <c r="T88" s="114"/>
      <c r="U88" s="114"/>
      <c r="V88" s="115"/>
      <c r="W88" s="115"/>
      <c r="X88" s="115">
        <f t="shared" ref="X88" si="35">SUM(X89:X90)</f>
        <v>0</v>
      </c>
      <c r="Y88" s="115">
        <f>SUM(V88:X88)</f>
        <v>0</v>
      </c>
      <c r="Z88" s="97">
        <f>IFERROR(VLOOKUP(L88,데이터입력!$R$63:$T$68,3,FALSE),0)</f>
        <v>0</v>
      </c>
    </row>
    <row r="89" spans="1:38">
      <c r="A89" s="117"/>
      <c r="B89" s="117"/>
      <c r="C89" s="117"/>
      <c r="D89" s="117"/>
      <c r="E89" s="117"/>
      <c r="F89" s="131"/>
      <c r="G89" s="117"/>
      <c r="H89" s="132"/>
      <c r="I89" s="132"/>
      <c r="J89" s="132"/>
      <c r="K89" s="206"/>
      <c r="L89" s="126" t="str">
        <f>"    - "&amp;데이터입력!AD84</f>
        <v xml:space="preserve">    - 비지정후원금</v>
      </c>
      <c r="M89" s="210"/>
      <c r="N89" s="123">
        <f>데이터입력!AE84</f>
        <v>0</v>
      </c>
      <c r="O89" s="120" t="str">
        <f t="shared" ref="O89:O90" si="36">IF(P89="","","x ")</f>
        <v/>
      </c>
      <c r="P89" s="124"/>
      <c r="Q89" s="120" t="s">
        <v>404</v>
      </c>
      <c r="R89" s="125">
        <f>IF(VLOOKUP(L88,데이터입력!$R$63:$U$68,4,FALSE)="",데이터입력!$Y$8,VLOOKUP(L88,데이터입력!$R$63:$U$68,4,FALSE))</f>
        <v>12</v>
      </c>
      <c r="S89" s="120"/>
      <c r="T89" s="120" t="s">
        <v>405</v>
      </c>
      <c r="U89" s="120"/>
      <c r="V89" s="121"/>
      <c r="W89" s="121"/>
      <c r="X89" s="121">
        <f>IF(P89="",N89*R89,N89*P89*R89)</f>
        <v>0</v>
      </c>
      <c r="Y89" s="121"/>
    </row>
    <row r="90" spans="1:38">
      <c r="A90" s="133"/>
      <c r="B90" s="133"/>
      <c r="C90" s="133"/>
      <c r="D90" s="133"/>
      <c r="E90" s="133"/>
      <c r="F90" s="134"/>
      <c r="G90" s="133"/>
      <c r="H90" s="135"/>
      <c r="I90" s="135"/>
      <c r="J90" s="135"/>
      <c r="K90" s="207"/>
      <c r="L90" s="129" t="str">
        <f>"    - "&amp;데이터입력!AD85</f>
        <v xml:space="preserve">    - </v>
      </c>
      <c r="M90" s="136"/>
      <c r="N90" s="137">
        <f>데이터입력!AE85</f>
        <v>0</v>
      </c>
      <c r="O90" s="120" t="str">
        <f t="shared" si="36"/>
        <v/>
      </c>
      <c r="P90" s="138"/>
      <c r="Q90" s="130" t="s">
        <v>404</v>
      </c>
      <c r="R90" s="139">
        <f>데이터입력!AF85</f>
        <v>12</v>
      </c>
      <c r="S90" s="130"/>
      <c r="T90" s="130" t="s">
        <v>405</v>
      </c>
      <c r="U90" s="130"/>
      <c r="V90" s="140"/>
      <c r="W90" s="140"/>
      <c r="X90" s="140">
        <f>IF(P90="",N90*R90,N90*P90*R90)</f>
        <v>0</v>
      </c>
      <c r="Y90" s="140"/>
    </row>
    <row r="91" spans="1:38">
      <c r="A91" s="259" t="s">
        <v>314</v>
      </c>
      <c r="B91" s="260" t="s">
        <v>314</v>
      </c>
      <c r="C91" s="262"/>
      <c r="D91" s="262"/>
      <c r="E91" s="262"/>
      <c r="F91" s="262"/>
      <c r="G91" s="262"/>
      <c r="H91" s="250">
        <f>SUM(H92:H122)</f>
        <v>1206036</v>
      </c>
      <c r="I91" s="250">
        <f t="shared" ref="I91:J91" si="37">SUM(I92:I122)</f>
        <v>1272996</v>
      </c>
      <c r="J91" s="250">
        <f t="shared" si="37"/>
        <v>66960</v>
      </c>
      <c r="K91" s="250"/>
      <c r="L91" s="263"/>
      <c r="M91" s="263"/>
      <c r="N91" s="263"/>
      <c r="O91" s="263"/>
      <c r="P91" s="263"/>
      <c r="Q91" s="263"/>
      <c r="R91" s="263"/>
      <c r="S91" s="263"/>
      <c r="T91" s="263"/>
      <c r="U91" s="263"/>
      <c r="V91" s="273">
        <f>SUM(V92,V114,V117,V120)</f>
        <v>1272996000</v>
      </c>
      <c r="W91" s="273">
        <f t="shared" ref="W91:Y91" si="38">SUM(W92,W114,W117,W120)</f>
        <v>0</v>
      </c>
      <c r="X91" s="273">
        <f t="shared" si="38"/>
        <v>0</v>
      </c>
      <c r="Y91" s="273">
        <f t="shared" si="38"/>
        <v>1272996000</v>
      </c>
    </row>
    <row r="92" spans="1:38" ht="27">
      <c r="A92" s="107"/>
      <c r="B92" s="107"/>
      <c r="C92" s="107" t="s">
        <v>409</v>
      </c>
      <c r="D92" s="107" t="s">
        <v>410</v>
      </c>
      <c r="E92" s="107">
        <v>406010101</v>
      </c>
      <c r="F92" s="108" t="s">
        <v>83</v>
      </c>
      <c r="G92" s="107" t="s">
        <v>6</v>
      </c>
      <c r="H92" s="109">
        <f>IFERROR(IF(VLOOKUP(K92,데이터입력!$C$3:$L$40,5,FALSE)&lt;1000,ROUNDUP(VLOOKUP(K92,데이터입력!$C$3:$L$40,5,FALSE)*1/1000,0),ROUND(VLOOKUP(K92,데이터입력!$C$3:$L$40,5,FALSE)*1/1000,0)),0)</f>
        <v>1134036</v>
      </c>
      <c r="I92" s="109">
        <f>IFERROR(IF(F92="06",IF(V92&lt;1000,ROUNDUP((V92)*1/1000,0),ROUND((V92)*1/1000,0)),IF(F92="07",IF(W92&lt;1000,ROUNDUP((W92)*1/1000,0),ROUND((W92)*1/1000,0)),IF(F92="05",IF(X92&lt;1000,ROUNDUP((X92)*1/1000,0),ROUND((X92)*1/1000,0))))),0)</f>
        <v>1193796</v>
      </c>
      <c r="J92" s="110">
        <f>I92-H92</f>
        <v>59760</v>
      </c>
      <c r="K92" s="110" t="str">
        <f>D92&amp;"("&amp;G92&amp;")"</f>
        <v>장기요양급여수입(인건비비율 반영)(수익사업)</v>
      </c>
      <c r="L92" s="112" t="str">
        <f>D92</f>
        <v>장기요양급여수입(인건비비율 반영)</v>
      </c>
      <c r="M92" s="224"/>
      <c r="N92" s="113"/>
      <c r="O92" s="114"/>
      <c r="P92" s="113"/>
      <c r="Q92" s="114"/>
      <c r="R92" s="113"/>
      <c r="S92" s="114"/>
      <c r="T92" s="114"/>
      <c r="U92" s="114"/>
      <c r="V92" s="115">
        <f>SUM(V93:V113)</f>
        <v>1193796000</v>
      </c>
      <c r="W92" s="115"/>
      <c r="X92" s="115"/>
      <c r="Y92" s="115">
        <f>SUM(V92:X92)</f>
        <v>1193796000</v>
      </c>
    </row>
    <row r="93" spans="1:38">
      <c r="A93" s="116"/>
      <c r="B93" s="116"/>
      <c r="C93" s="117"/>
      <c r="D93" s="118"/>
      <c r="E93" s="119"/>
      <c r="F93" s="119"/>
      <c r="G93" s="119"/>
      <c r="H93" s="119"/>
      <c r="I93" s="119"/>
      <c r="J93" s="119"/>
      <c r="K93" s="907">
        <v>1</v>
      </c>
      <c r="L93" s="210" t="str">
        <f t="shared" ref="L93:L101" si="39">IFERROR(VLOOKUP($K93,$Z$93:$AL$119,3,FALSE),"")</f>
        <v xml:space="preserve">    - 시설(1등급)</v>
      </c>
      <c r="M93" s="212">
        <f t="shared" ref="M93:M102" si="40">IFERROR(VLOOKUP($L93,$AB$92:$AL$119,2,FALSE),"")</f>
        <v>0.8</v>
      </c>
      <c r="N93" s="123">
        <f t="shared" ref="N93:N102" si="41">IFERROR(VLOOKUP($L93,$AB$92:$AL$119,3,FALSE),"")</f>
        <v>2263000</v>
      </c>
      <c r="O93" s="214" t="str">
        <f t="shared" ref="O93:O102" si="42">IFERROR(VLOOKUP($L93,$AB$92:$AL$119,4,FALSE),"")</f>
        <v xml:space="preserve"> x  </v>
      </c>
      <c r="P93" s="215">
        <f t="shared" ref="P93:P102" si="43">IFERROR(VLOOKUP($L93,$AB$92:$AL$119,5,FALSE),"")</f>
        <v>4</v>
      </c>
      <c r="Q93" s="214" t="str">
        <f t="shared" ref="Q93:Q102" si="44">IFERROR(VLOOKUP($L93,$AB$92:$AL$119,6,FALSE),"")</f>
        <v xml:space="preserve"> x  </v>
      </c>
      <c r="R93" s="216">
        <f t="shared" ref="R93:R102" si="45">IFERROR(VLOOKUP($L93,$AB$92:$AL$119,7,FALSE),"")</f>
        <v>12</v>
      </c>
      <c r="S93" s="216"/>
      <c r="T93" s="217" t="str">
        <f t="shared" ref="T93:T102" si="46">IFERROR(VLOOKUP($L93,$AB$92:$AL$119,9,FALSE),"")</f>
        <v xml:space="preserve"> = </v>
      </c>
      <c r="U93" s="120"/>
      <c r="V93" s="121">
        <f>IFERROR(N93*P93*R93,"")</f>
        <v>108624000</v>
      </c>
      <c r="W93" s="121"/>
      <c r="X93" s="121"/>
      <c r="Y93" s="121"/>
      <c r="Z93" s="97">
        <f>IF(AA93="","",SUBTOTAL(2,$AA$93:AA93))</f>
        <v>1</v>
      </c>
      <c r="AA93" s="908">
        <f>IF(AF93=0,"",IF(데이터입력!$X$5=TRUE,1,""))</f>
        <v>1</v>
      </c>
      <c r="AB93" s="97" t="s">
        <v>383</v>
      </c>
      <c r="AC93" s="122">
        <v>0.8</v>
      </c>
      <c r="AD93" s="123">
        <f>IF(데이터입력!V7="",ROUND(데이터입력!T7*AC93,-3),ROUND(데이터입력!T7*데이터입력!V7*AC93,-3))</f>
        <v>2263000</v>
      </c>
      <c r="AE93" s="97" t="s">
        <v>384</v>
      </c>
      <c r="AF93" s="124">
        <f>데이터입력!U7</f>
        <v>4</v>
      </c>
      <c r="AG93" s="97" t="s">
        <v>384</v>
      </c>
      <c r="AH93" s="125">
        <f>데이터입력!$Y$8</f>
        <v>12</v>
      </c>
      <c r="AJ93" s="97" t="s">
        <v>385</v>
      </c>
      <c r="AL93" s="121">
        <f>AD93*AF93*AH93</f>
        <v>108624000</v>
      </c>
    </row>
    <row r="94" spans="1:38">
      <c r="A94" s="116"/>
      <c r="B94" s="116"/>
      <c r="C94" s="119"/>
      <c r="D94" s="119"/>
      <c r="E94" s="119"/>
      <c r="F94" s="119"/>
      <c r="G94" s="119"/>
      <c r="H94" s="119"/>
      <c r="I94" s="119"/>
      <c r="J94" s="119"/>
      <c r="K94" s="907">
        <v>2</v>
      </c>
      <c r="L94" s="210" t="str">
        <f t="shared" si="39"/>
        <v xml:space="preserve">    - 시설(2등급)</v>
      </c>
      <c r="M94" s="212">
        <f t="shared" si="40"/>
        <v>0.8</v>
      </c>
      <c r="N94" s="123">
        <f t="shared" si="41"/>
        <v>2100000</v>
      </c>
      <c r="O94" s="214" t="str">
        <f t="shared" si="42"/>
        <v xml:space="preserve"> x  </v>
      </c>
      <c r="P94" s="215">
        <f t="shared" si="43"/>
        <v>8</v>
      </c>
      <c r="Q94" s="214" t="str">
        <f t="shared" si="44"/>
        <v xml:space="preserve"> x  </v>
      </c>
      <c r="R94" s="216">
        <f t="shared" si="45"/>
        <v>12</v>
      </c>
      <c r="S94" s="216"/>
      <c r="T94" s="217" t="str">
        <f t="shared" si="46"/>
        <v xml:space="preserve"> = </v>
      </c>
      <c r="U94" s="120"/>
      <c r="V94" s="121">
        <f t="shared" ref="V94:V102" si="47">IFERROR(N94*P94*R94,"")</f>
        <v>201600000</v>
      </c>
      <c r="W94" s="121"/>
      <c r="X94" s="121"/>
      <c r="Y94" s="121"/>
      <c r="Z94" s="97">
        <f>IF(AA94="","",SUBTOTAL(2,$AA$93:AA94))</f>
        <v>2</v>
      </c>
      <c r="AA94" s="908">
        <f>IF(AF94=0,"",IF(데이터입력!$X$5=TRUE,1,""))</f>
        <v>1</v>
      </c>
      <c r="AB94" s="97" t="s">
        <v>386</v>
      </c>
      <c r="AC94" s="122">
        <v>0.8</v>
      </c>
      <c r="AD94" s="123">
        <f>IF(데이터입력!V8="",ROUND(데이터입력!T8*AC94,-3),ROUND(데이터입력!T8*데이터입력!V8*AC94,-3))</f>
        <v>2100000</v>
      </c>
      <c r="AE94" s="97" t="s">
        <v>384</v>
      </c>
      <c r="AF94" s="124">
        <f>데이터입력!U8</f>
        <v>8</v>
      </c>
      <c r="AG94" s="97" t="s">
        <v>384</v>
      </c>
      <c r="AH94" s="125">
        <f>데이터입력!$Y$8</f>
        <v>12</v>
      </c>
      <c r="AJ94" s="97" t="s">
        <v>385</v>
      </c>
      <c r="AL94" s="121">
        <f t="shared" ref="AL94:AL115" si="48">AD94*AF94*AH94</f>
        <v>201600000</v>
      </c>
    </row>
    <row r="95" spans="1:38">
      <c r="A95" s="116"/>
      <c r="B95" s="116"/>
      <c r="C95" s="119"/>
      <c r="D95" s="119"/>
      <c r="E95" s="119"/>
      <c r="F95" s="119"/>
      <c r="G95" s="119"/>
      <c r="H95" s="119"/>
      <c r="I95" s="119"/>
      <c r="J95" s="119"/>
      <c r="K95" s="907">
        <v>3</v>
      </c>
      <c r="L95" s="210" t="str">
        <f t="shared" si="39"/>
        <v xml:space="preserve">    - 시설(3등급)</v>
      </c>
      <c r="M95" s="212">
        <f t="shared" si="40"/>
        <v>0.8</v>
      </c>
      <c r="N95" s="123">
        <f t="shared" si="41"/>
        <v>1983000</v>
      </c>
      <c r="O95" s="214" t="str">
        <f t="shared" si="42"/>
        <v xml:space="preserve"> x  </v>
      </c>
      <c r="P95" s="215">
        <f t="shared" si="43"/>
        <v>21</v>
      </c>
      <c r="Q95" s="214" t="str">
        <f t="shared" si="44"/>
        <v xml:space="preserve"> x  </v>
      </c>
      <c r="R95" s="216">
        <f t="shared" si="45"/>
        <v>12</v>
      </c>
      <c r="S95" s="216"/>
      <c r="T95" s="217" t="str">
        <f t="shared" si="46"/>
        <v xml:space="preserve"> = </v>
      </c>
      <c r="U95" s="120"/>
      <c r="V95" s="121">
        <f t="shared" si="47"/>
        <v>499716000</v>
      </c>
      <c r="W95" s="121"/>
      <c r="X95" s="121"/>
      <c r="Y95" s="121"/>
      <c r="Z95" s="97">
        <f>IF(AA95="","",SUBTOTAL(2,$AA$93:AA95))</f>
        <v>3</v>
      </c>
      <c r="AA95" s="908">
        <f>IF(AF95=0,"",IF(데이터입력!$X$5=TRUE,1,""))</f>
        <v>1</v>
      </c>
      <c r="AB95" s="97" t="s">
        <v>387</v>
      </c>
      <c r="AC95" s="122">
        <v>0.8</v>
      </c>
      <c r="AD95" s="123">
        <f>IF(데이터입력!V9="",ROUND(데이터입력!T9*AC95,-3),ROUND(데이터입력!T9*데이터입력!V9*AC95,-3))</f>
        <v>1983000</v>
      </c>
      <c r="AE95" s="97" t="s">
        <v>384</v>
      </c>
      <c r="AF95" s="124">
        <f>데이터입력!U9</f>
        <v>21</v>
      </c>
      <c r="AG95" s="97" t="s">
        <v>384</v>
      </c>
      <c r="AH95" s="125">
        <f>데이터입력!$Y$8</f>
        <v>12</v>
      </c>
      <c r="AJ95" s="97" t="s">
        <v>385</v>
      </c>
      <c r="AL95" s="121">
        <f t="shared" si="48"/>
        <v>499716000</v>
      </c>
    </row>
    <row r="96" spans="1:38">
      <c r="A96" s="116"/>
      <c r="B96" s="116"/>
      <c r="C96" s="119"/>
      <c r="D96" s="119"/>
      <c r="E96" s="119"/>
      <c r="F96" s="119"/>
      <c r="G96" s="119"/>
      <c r="H96" s="119"/>
      <c r="I96" s="119"/>
      <c r="J96" s="119"/>
      <c r="K96" s="907">
        <v>4</v>
      </c>
      <c r="L96" s="210" t="str">
        <f t="shared" si="39"/>
        <v xml:space="preserve">    - 기초수급자</v>
      </c>
      <c r="M96" s="212">
        <f t="shared" si="40"/>
        <v>1</v>
      </c>
      <c r="N96" s="123">
        <f t="shared" si="41"/>
        <v>2479000</v>
      </c>
      <c r="O96" s="214" t="str">
        <f t="shared" si="42"/>
        <v xml:space="preserve"> x  </v>
      </c>
      <c r="P96" s="215">
        <f t="shared" si="43"/>
        <v>12</v>
      </c>
      <c r="Q96" s="214" t="str">
        <f t="shared" si="44"/>
        <v xml:space="preserve"> x  </v>
      </c>
      <c r="R96" s="216">
        <f t="shared" si="45"/>
        <v>12</v>
      </c>
      <c r="S96" s="216"/>
      <c r="T96" s="217" t="str">
        <f t="shared" si="46"/>
        <v xml:space="preserve"> = </v>
      </c>
      <c r="U96" s="120"/>
      <c r="V96" s="121">
        <f t="shared" si="47"/>
        <v>356976000</v>
      </c>
      <c r="W96" s="121"/>
      <c r="X96" s="121"/>
      <c r="Y96" s="121"/>
      <c r="Z96" s="97" t="str">
        <f>IF(AA96="","",SUBTOTAL(2,$AA$93:AA96))</f>
        <v/>
      </c>
      <c r="AA96" s="908" t="str">
        <f>IF(AF96=0,"",IF(데이터입력!$Y$5=TRUE,1,""))</f>
        <v/>
      </c>
      <c r="AB96" s="97" t="s">
        <v>388</v>
      </c>
      <c r="AC96" s="122">
        <v>0.8</v>
      </c>
      <c r="AD96" s="123">
        <f>IF(데이터입력!V10="",ROUND(데이터입력!T10*AC96,-3),ROUND(데이터입력!T10*데이터입력!V10*AC96,-3))</f>
        <v>1814000</v>
      </c>
      <c r="AE96" s="97" t="s">
        <v>384</v>
      </c>
      <c r="AF96" s="124">
        <f>데이터입력!U10</f>
        <v>0</v>
      </c>
      <c r="AG96" s="97" t="s">
        <v>384</v>
      </c>
      <c r="AH96" s="125">
        <f>데이터입력!$Y$8</f>
        <v>12</v>
      </c>
      <c r="AJ96" s="97" t="s">
        <v>385</v>
      </c>
      <c r="AL96" s="121">
        <f t="shared" si="48"/>
        <v>0</v>
      </c>
    </row>
    <row r="97" spans="1:38">
      <c r="A97" s="116"/>
      <c r="B97" s="116"/>
      <c r="C97" s="119"/>
      <c r="D97" s="127"/>
      <c r="E97" s="119"/>
      <c r="F97" s="119"/>
      <c r="G97" s="119"/>
      <c r="H97" s="119"/>
      <c r="I97" s="119"/>
      <c r="J97" s="119"/>
      <c r="K97" s="907">
        <v>5</v>
      </c>
      <c r="L97" s="210" t="str">
        <f t="shared" si="39"/>
        <v xml:space="preserve">    - 장기근속수당(1-2년차)</v>
      </c>
      <c r="M97" s="212">
        <f t="shared" si="40"/>
        <v>1</v>
      </c>
      <c r="N97" s="123">
        <f t="shared" si="41"/>
        <v>50000</v>
      </c>
      <c r="O97" s="214" t="str">
        <f t="shared" si="42"/>
        <v xml:space="preserve"> x  </v>
      </c>
      <c r="P97" s="215">
        <f t="shared" si="43"/>
        <v>6</v>
      </c>
      <c r="Q97" s="214" t="str">
        <f t="shared" si="44"/>
        <v xml:space="preserve"> x  </v>
      </c>
      <c r="R97" s="216">
        <f t="shared" si="45"/>
        <v>12</v>
      </c>
      <c r="S97" s="216"/>
      <c r="T97" s="217" t="str">
        <f t="shared" si="46"/>
        <v xml:space="preserve"> = </v>
      </c>
      <c r="U97" s="120"/>
      <c r="V97" s="121">
        <f t="shared" si="47"/>
        <v>3600000</v>
      </c>
      <c r="W97" s="121"/>
      <c r="X97" s="121"/>
      <c r="Y97" s="121"/>
      <c r="Z97" s="97" t="str">
        <f>IF(AA97="","",SUBTOTAL(2,$AA$93:AA97))</f>
        <v/>
      </c>
      <c r="AA97" s="908" t="str">
        <f>IF(AF97=0,"",IF(데이터입력!$Y$5=TRUE,1,""))</f>
        <v/>
      </c>
      <c r="AB97" s="97" t="s">
        <v>389</v>
      </c>
      <c r="AC97" s="122">
        <v>0.8</v>
      </c>
      <c r="AD97" s="123">
        <f>IF(데이터입력!V11="",ROUND(데이터입력!T11*AC97,-3),ROUND(데이터입력!T11*데이터입력!V11*AC97,-3))</f>
        <v>1683000</v>
      </c>
      <c r="AE97" s="97" t="s">
        <v>384</v>
      </c>
      <c r="AF97" s="124">
        <f>데이터입력!U11</f>
        <v>0</v>
      </c>
      <c r="AG97" s="97" t="s">
        <v>384</v>
      </c>
      <c r="AH97" s="125">
        <f>데이터입력!$Y$8</f>
        <v>12</v>
      </c>
      <c r="AJ97" s="97" t="s">
        <v>385</v>
      </c>
      <c r="AL97" s="121">
        <f t="shared" si="48"/>
        <v>0</v>
      </c>
    </row>
    <row r="98" spans="1:38">
      <c r="A98" s="116"/>
      <c r="B98" s="116"/>
      <c r="C98" s="119"/>
      <c r="D98" s="127"/>
      <c r="E98" s="119"/>
      <c r="F98" s="119"/>
      <c r="G98" s="119"/>
      <c r="H98" s="119"/>
      <c r="I98" s="119"/>
      <c r="J98" s="119"/>
      <c r="K98" s="907">
        <v>6</v>
      </c>
      <c r="L98" s="210" t="str">
        <f t="shared" si="39"/>
        <v xml:space="preserve">    - 장기근속수당(3-4년차)</v>
      </c>
      <c r="M98" s="212">
        <f t="shared" si="40"/>
        <v>1</v>
      </c>
      <c r="N98" s="123">
        <f t="shared" si="41"/>
        <v>140000</v>
      </c>
      <c r="O98" s="214" t="str">
        <f t="shared" si="42"/>
        <v xml:space="preserve"> x  </v>
      </c>
      <c r="P98" s="215">
        <f t="shared" si="43"/>
        <v>4</v>
      </c>
      <c r="Q98" s="214" t="str">
        <f t="shared" si="44"/>
        <v xml:space="preserve"> x  </v>
      </c>
      <c r="R98" s="216">
        <f t="shared" si="45"/>
        <v>12</v>
      </c>
      <c r="S98" s="216"/>
      <c r="T98" s="217" t="str">
        <f t="shared" si="46"/>
        <v xml:space="preserve"> = </v>
      </c>
      <c r="U98" s="120"/>
      <c r="V98" s="121">
        <f t="shared" si="47"/>
        <v>6720000</v>
      </c>
      <c r="W98" s="121"/>
      <c r="X98" s="121"/>
      <c r="Y98" s="121"/>
      <c r="Z98" s="97" t="str">
        <f>IF(AA98="","",SUBTOTAL(2,$AA$93:AA98))</f>
        <v/>
      </c>
      <c r="AA98" s="908" t="str">
        <f>IF(AF98=0,"",IF(데이터입력!$Y$5=TRUE,1,""))</f>
        <v/>
      </c>
      <c r="AB98" s="97" t="s">
        <v>390</v>
      </c>
      <c r="AC98" s="122">
        <v>0.8</v>
      </c>
      <c r="AD98" s="123">
        <f>IF(데이터입력!V12="",ROUND(데이터입력!T12*AC98,-3),ROUND(데이터입력!T12*데이터입력!V12*AC98,-3))</f>
        <v>1552000</v>
      </c>
      <c r="AE98" s="97" t="s">
        <v>384</v>
      </c>
      <c r="AF98" s="124">
        <f>데이터입력!U12</f>
        <v>0</v>
      </c>
      <c r="AG98" s="97" t="s">
        <v>384</v>
      </c>
      <c r="AH98" s="125">
        <f>데이터입력!$Y$8</f>
        <v>12</v>
      </c>
      <c r="AJ98" s="97" t="s">
        <v>385</v>
      </c>
      <c r="AL98" s="121">
        <f t="shared" si="48"/>
        <v>0</v>
      </c>
    </row>
    <row r="99" spans="1:38">
      <c r="A99" s="116"/>
      <c r="B99" s="116"/>
      <c r="C99" s="119"/>
      <c r="D99" s="127"/>
      <c r="E99" s="119"/>
      <c r="F99" s="119"/>
      <c r="G99" s="119"/>
      <c r="H99" s="119"/>
      <c r="I99" s="119"/>
      <c r="J99" s="119"/>
      <c r="K99" s="907">
        <v>7</v>
      </c>
      <c r="L99" s="210" t="str">
        <f t="shared" si="39"/>
        <v xml:space="preserve">    - 장기근속수당(5-6년차)</v>
      </c>
      <c r="M99" s="212">
        <f t="shared" si="40"/>
        <v>1</v>
      </c>
      <c r="N99" s="123">
        <f t="shared" si="41"/>
        <v>160000</v>
      </c>
      <c r="O99" s="214" t="str">
        <f t="shared" si="42"/>
        <v xml:space="preserve"> x  </v>
      </c>
      <c r="P99" s="215">
        <f t="shared" si="43"/>
        <v>3</v>
      </c>
      <c r="Q99" s="214" t="str">
        <f t="shared" si="44"/>
        <v xml:space="preserve"> x  </v>
      </c>
      <c r="R99" s="216">
        <f t="shared" si="45"/>
        <v>12</v>
      </c>
      <c r="S99" s="216"/>
      <c r="T99" s="217" t="str">
        <f t="shared" si="46"/>
        <v xml:space="preserve"> = </v>
      </c>
      <c r="U99" s="120"/>
      <c r="V99" s="121">
        <f t="shared" si="47"/>
        <v>5760000</v>
      </c>
      <c r="W99" s="121"/>
      <c r="X99" s="121"/>
      <c r="Y99" s="121"/>
      <c r="Z99" s="97" t="str">
        <f>IF(AA99="","",SUBTOTAL(2,$AA$93:AA99))</f>
        <v/>
      </c>
      <c r="AA99" s="908" t="str">
        <f>IF(AF99=0,"",IF(데이터입력!$Z$5=TRUE,1,""))</f>
        <v/>
      </c>
      <c r="AB99" s="97" t="s">
        <v>484</v>
      </c>
      <c r="AC99" s="122">
        <v>0.85</v>
      </c>
      <c r="AD99" s="123">
        <f>IF(데이터입력!V13="",ROUND(데이터입력!T13*AC99,-3),ROUND(데이터입력!T13*데이터입력!V13*AC99,-3))</f>
        <v>1245000</v>
      </c>
      <c r="AE99" s="97" t="s">
        <v>384</v>
      </c>
      <c r="AF99" s="124">
        <f>데이터입력!U13</f>
        <v>0</v>
      </c>
      <c r="AG99" s="97" t="s">
        <v>384</v>
      </c>
      <c r="AH99" s="125">
        <f>데이터입력!$Y$8</f>
        <v>12</v>
      </c>
      <c r="AJ99" s="97" t="s">
        <v>385</v>
      </c>
      <c r="AL99" s="121">
        <f t="shared" si="48"/>
        <v>0</v>
      </c>
    </row>
    <row r="100" spans="1:38">
      <c r="A100" s="116"/>
      <c r="B100" s="116"/>
      <c r="C100" s="119"/>
      <c r="D100" s="127"/>
      <c r="E100" s="119"/>
      <c r="F100" s="119"/>
      <c r="G100" s="119"/>
      <c r="H100" s="119"/>
      <c r="I100" s="119"/>
      <c r="J100" s="119"/>
      <c r="K100" s="907">
        <v>8</v>
      </c>
      <c r="L100" s="210" t="str">
        <f t="shared" si="39"/>
        <v xml:space="preserve">    - 장기근속수당(7년차이상)</v>
      </c>
      <c r="M100" s="212">
        <f t="shared" si="40"/>
        <v>1</v>
      </c>
      <c r="N100" s="123">
        <f t="shared" si="41"/>
        <v>180000</v>
      </c>
      <c r="O100" s="214" t="str">
        <f t="shared" si="42"/>
        <v xml:space="preserve"> x  </v>
      </c>
      <c r="P100" s="215">
        <f t="shared" si="43"/>
        <v>5</v>
      </c>
      <c r="Q100" s="214" t="str">
        <f t="shared" si="44"/>
        <v xml:space="preserve"> x  </v>
      </c>
      <c r="R100" s="216">
        <f t="shared" si="45"/>
        <v>12</v>
      </c>
      <c r="S100" s="216"/>
      <c r="T100" s="217" t="str">
        <f t="shared" si="46"/>
        <v xml:space="preserve"> = </v>
      </c>
      <c r="U100" s="120"/>
      <c r="V100" s="121">
        <f t="shared" si="47"/>
        <v>10800000</v>
      </c>
      <c r="W100" s="121"/>
      <c r="X100" s="121"/>
      <c r="Y100" s="121"/>
      <c r="Z100" s="97" t="str">
        <f>IF(AA100="","",SUBTOTAL(2,$AA$93:AA100))</f>
        <v/>
      </c>
      <c r="AA100" s="908" t="str">
        <f>IF(AF100=0,"",IF(데이터입력!$Z$5=TRUE,1,""))</f>
        <v/>
      </c>
      <c r="AB100" s="97" t="s">
        <v>485</v>
      </c>
      <c r="AC100" s="122">
        <v>0.85</v>
      </c>
      <c r="AD100" s="123">
        <f>IF(데이터입력!V14="",ROUND(데이터입력!T14*AC100,-3),ROUND(데이터입력!T14*데이터입력!V14*AC100,-3))</f>
        <v>1153000</v>
      </c>
      <c r="AE100" s="97" t="s">
        <v>384</v>
      </c>
      <c r="AF100" s="124">
        <f>데이터입력!U14</f>
        <v>0</v>
      </c>
      <c r="AG100" s="97" t="s">
        <v>384</v>
      </c>
      <c r="AH100" s="125">
        <f>데이터입력!$Y$8</f>
        <v>12</v>
      </c>
      <c r="AJ100" s="97" t="s">
        <v>385</v>
      </c>
      <c r="AL100" s="121">
        <f t="shared" si="48"/>
        <v>0</v>
      </c>
    </row>
    <row r="101" spans="1:38">
      <c r="A101" s="116"/>
      <c r="B101" s="116"/>
      <c r="C101" s="119"/>
      <c r="D101" s="127"/>
      <c r="E101" s="119"/>
      <c r="F101" s="119"/>
      <c r="G101" s="119"/>
      <c r="H101" s="119"/>
      <c r="I101" s="119"/>
      <c r="J101" s="119"/>
      <c r="K101" s="907">
        <v>9</v>
      </c>
      <c r="L101" s="210" t="str">
        <f t="shared" si="39"/>
        <v/>
      </c>
      <c r="M101" s="212" t="str">
        <f t="shared" si="40"/>
        <v/>
      </c>
      <c r="N101" s="123" t="str">
        <f t="shared" si="41"/>
        <v/>
      </c>
      <c r="O101" s="214" t="str">
        <f t="shared" si="42"/>
        <v/>
      </c>
      <c r="P101" s="215" t="str">
        <f t="shared" si="43"/>
        <v/>
      </c>
      <c r="Q101" s="214" t="str">
        <f t="shared" si="44"/>
        <v/>
      </c>
      <c r="R101" s="216" t="str">
        <f t="shared" si="45"/>
        <v/>
      </c>
      <c r="S101" s="216"/>
      <c r="T101" s="217" t="str">
        <f t="shared" si="46"/>
        <v/>
      </c>
      <c r="U101" s="120"/>
      <c r="V101" s="121" t="str">
        <f t="shared" si="47"/>
        <v/>
      </c>
      <c r="W101" s="121"/>
      <c r="X101" s="121"/>
      <c r="Y101" s="121"/>
      <c r="Z101" s="97" t="str">
        <f>IF(AA101="","",SUBTOTAL(2,$AA$93:AA101))</f>
        <v/>
      </c>
      <c r="AA101" s="908" t="str">
        <f>IF(AF101=0,"",IF(데이터입력!$Z$5=TRUE,1,""))</f>
        <v/>
      </c>
      <c r="AB101" s="97" t="s">
        <v>391</v>
      </c>
      <c r="AC101" s="122">
        <v>0.85</v>
      </c>
      <c r="AD101" s="123">
        <f>IF(데이터입력!V15="",ROUND(데이터입력!T15*AC101,-3),ROUND(데이터입력!T15*데이터입력!V15*AC101,-3))</f>
        <v>1065000</v>
      </c>
      <c r="AE101" s="97" t="s">
        <v>384</v>
      </c>
      <c r="AF101" s="124">
        <f>데이터입력!U15</f>
        <v>0</v>
      </c>
      <c r="AG101" s="97" t="s">
        <v>384</v>
      </c>
      <c r="AH101" s="125">
        <f>데이터입력!$Y$8</f>
        <v>12</v>
      </c>
      <c r="AJ101" s="97" t="s">
        <v>385</v>
      </c>
      <c r="AL101" s="121">
        <f t="shared" si="48"/>
        <v>0</v>
      </c>
    </row>
    <row r="102" spans="1:38">
      <c r="A102" s="116"/>
      <c r="B102" s="116"/>
      <c r="C102" s="119"/>
      <c r="D102" s="127"/>
      <c r="E102" s="119"/>
      <c r="F102" s="119"/>
      <c r="G102" s="119"/>
      <c r="H102" s="119"/>
      <c r="I102" s="119"/>
      <c r="J102" s="119"/>
      <c r="K102" s="907">
        <v>10</v>
      </c>
      <c r="L102" s="210" t="str">
        <f>IFERROR(VLOOKUP($K102,$Z$93:$AL$119,3,FALSE),"")</f>
        <v/>
      </c>
      <c r="M102" s="212" t="str">
        <f t="shared" si="40"/>
        <v/>
      </c>
      <c r="N102" s="123" t="str">
        <f t="shared" si="41"/>
        <v/>
      </c>
      <c r="O102" s="214" t="str">
        <f t="shared" si="42"/>
        <v/>
      </c>
      <c r="P102" s="215" t="str">
        <f t="shared" si="43"/>
        <v/>
      </c>
      <c r="Q102" s="214" t="str">
        <f t="shared" si="44"/>
        <v/>
      </c>
      <c r="R102" s="216" t="str">
        <f t="shared" si="45"/>
        <v/>
      </c>
      <c r="S102" s="216"/>
      <c r="T102" s="217" t="str">
        <f t="shared" si="46"/>
        <v/>
      </c>
      <c r="U102" s="120"/>
      <c r="V102" s="121" t="str">
        <f t="shared" si="47"/>
        <v/>
      </c>
      <c r="W102" s="121"/>
      <c r="X102" s="121"/>
      <c r="Y102" s="121"/>
      <c r="Z102" s="97" t="str">
        <f>IF(AA102="","",SUBTOTAL(2,$AA$93:AA102))</f>
        <v/>
      </c>
      <c r="AA102" s="908" t="str">
        <f>IF(AF102=0,"",IF(데이터입력!$Z$5=TRUE,1,""))</f>
        <v/>
      </c>
      <c r="AB102" s="97" t="s">
        <v>392</v>
      </c>
      <c r="AC102" s="122">
        <v>0.85</v>
      </c>
      <c r="AD102" s="123">
        <f>IF(데이터입력!V16="",ROUND(데이터입력!T16*AC102,-3),ROUND(데이터입력!T16*데이터입력!V16*AC102,-3))</f>
        <v>1035000</v>
      </c>
      <c r="AE102" s="97" t="s">
        <v>384</v>
      </c>
      <c r="AF102" s="124">
        <f>데이터입력!U16</f>
        <v>0</v>
      </c>
      <c r="AG102" s="97" t="s">
        <v>384</v>
      </c>
      <c r="AH102" s="125">
        <f>데이터입력!$Y$8</f>
        <v>12</v>
      </c>
      <c r="AJ102" s="97" t="s">
        <v>385</v>
      </c>
      <c r="AL102" s="121">
        <f t="shared" si="48"/>
        <v>0</v>
      </c>
    </row>
    <row r="103" spans="1:38" hidden="1">
      <c r="A103" s="116"/>
      <c r="B103" s="116"/>
      <c r="C103" s="119"/>
      <c r="D103" s="127"/>
      <c r="E103" s="119"/>
      <c r="F103" s="119"/>
      <c r="G103" s="119"/>
      <c r="H103" s="119"/>
      <c r="I103" s="119"/>
      <c r="J103" s="119"/>
      <c r="K103" s="119"/>
      <c r="L103" s="126"/>
      <c r="M103" s="212"/>
      <c r="N103" s="213"/>
      <c r="O103" s="214"/>
      <c r="P103" s="215"/>
      <c r="Q103" s="214"/>
      <c r="R103" s="216"/>
      <c r="S103" s="216"/>
      <c r="T103" s="217"/>
      <c r="U103" s="120"/>
      <c r="V103" s="121"/>
      <c r="W103" s="121"/>
      <c r="X103" s="121"/>
      <c r="Y103" s="121"/>
      <c r="Z103" s="97" t="str">
        <f>IF(AA103="","",SUBTOTAL(2,$AA$93:AA103))</f>
        <v/>
      </c>
      <c r="AA103" s="908" t="str">
        <f>IF(AF103=0,"",IF(데이터입력!$Z$5=TRUE,1,""))</f>
        <v/>
      </c>
      <c r="AB103" s="97" t="s">
        <v>393</v>
      </c>
      <c r="AC103" s="122">
        <v>0.85</v>
      </c>
      <c r="AD103" s="123">
        <f>IF(데이터입력!V17="",ROUND(데이터입력!T17*AC103,-3),ROUND(데이터입력!T17*데이터입력!V17*AC103,-3))</f>
        <v>1006000</v>
      </c>
      <c r="AE103" s="97" t="s">
        <v>384</v>
      </c>
      <c r="AF103" s="124">
        <f>데이터입력!U17</f>
        <v>0</v>
      </c>
      <c r="AG103" s="97" t="s">
        <v>384</v>
      </c>
      <c r="AH103" s="125">
        <f>데이터입력!$Y$8</f>
        <v>12</v>
      </c>
      <c r="AJ103" s="97" t="s">
        <v>385</v>
      </c>
      <c r="AL103" s="121">
        <f t="shared" si="48"/>
        <v>0</v>
      </c>
    </row>
    <row r="104" spans="1:38" hidden="1">
      <c r="A104" s="116"/>
      <c r="B104" s="116"/>
      <c r="C104" s="119"/>
      <c r="D104" s="119"/>
      <c r="E104" s="119"/>
      <c r="F104" s="119"/>
      <c r="G104" s="119"/>
      <c r="H104" s="119"/>
      <c r="I104" s="119"/>
      <c r="J104" s="119"/>
      <c r="K104" s="119"/>
      <c r="L104" s="126"/>
      <c r="M104" s="218"/>
      <c r="N104" s="123"/>
      <c r="O104" s="120"/>
      <c r="P104" s="124"/>
      <c r="Q104" s="120"/>
      <c r="R104" s="125"/>
      <c r="S104" s="120"/>
      <c r="T104" s="120"/>
      <c r="U104" s="120"/>
      <c r="V104" s="121"/>
      <c r="W104" s="121"/>
      <c r="X104" s="121"/>
      <c r="Y104" s="121"/>
      <c r="Z104" s="97" t="str">
        <f>IF(AA104="","",SUBTOTAL(2,$AA$93:AA104))</f>
        <v/>
      </c>
      <c r="AA104" s="908" t="str">
        <f>IF(AF104=0,"",IF(데이터입력!$Z$5=TRUE,1,""))</f>
        <v/>
      </c>
      <c r="AB104" s="97" t="s">
        <v>486</v>
      </c>
      <c r="AC104" s="122">
        <v>0.85</v>
      </c>
      <c r="AD104" s="123">
        <f>IF(데이터입력!V18="",ROUND(데이터입력!T18*AC104,-3),ROUND(데이터입력!T18*데이터입력!V18*AC104,-3))</f>
        <v>1006000</v>
      </c>
      <c r="AE104" s="97" t="s">
        <v>384</v>
      </c>
      <c r="AF104" s="124">
        <f>데이터입력!U18</f>
        <v>0</v>
      </c>
      <c r="AG104" s="97" t="s">
        <v>384</v>
      </c>
      <c r="AH104" s="125">
        <f>데이터입력!$Y$8</f>
        <v>12</v>
      </c>
      <c r="AJ104" s="97" t="s">
        <v>385</v>
      </c>
      <c r="AL104" s="121">
        <f t="shared" si="48"/>
        <v>0</v>
      </c>
    </row>
    <row r="105" spans="1:38" hidden="1">
      <c r="A105" s="116"/>
      <c r="B105" s="116"/>
      <c r="C105" s="119"/>
      <c r="D105" s="119"/>
      <c r="E105" s="119"/>
      <c r="F105" s="119"/>
      <c r="G105" s="119"/>
      <c r="H105" s="119"/>
      <c r="I105" s="119"/>
      <c r="J105" s="119"/>
      <c r="K105" s="119"/>
      <c r="L105" s="126"/>
      <c r="M105" s="218"/>
      <c r="N105" s="123"/>
      <c r="O105" s="120"/>
      <c r="P105" s="124"/>
      <c r="Q105" s="120"/>
      <c r="R105" s="125"/>
      <c r="S105" s="120"/>
      <c r="T105" s="120"/>
      <c r="U105" s="120"/>
      <c r="V105" s="121"/>
      <c r="W105" s="121"/>
      <c r="X105" s="121"/>
      <c r="Y105" s="121"/>
      <c r="Z105" s="97" t="str">
        <f>IF(AA105="","",SUBTOTAL(2,$AA$93:AA105))</f>
        <v/>
      </c>
      <c r="AA105" s="908" t="str">
        <f>IF(AF105=0,"",IF(데이터입력!$AA$5=TRUE,1,""))</f>
        <v/>
      </c>
      <c r="AB105" s="97" t="s">
        <v>394</v>
      </c>
      <c r="AC105" s="122">
        <v>0.85</v>
      </c>
      <c r="AD105" s="123">
        <f>IF(데이터입력!V19="",ROUND(데이터입력!T19*AC105,-3),ROUND(데이터입력!T19*데이터입력!V19*AC105,-3))</f>
        <v>944000</v>
      </c>
      <c r="AE105" s="97" t="s">
        <v>384</v>
      </c>
      <c r="AF105" s="124">
        <f>데이터입력!U19</f>
        <v>0</v>
      </c>
      <c r="AG105" s="97" t="s">
        <v>384</v>
      </c>
      <c r="AH105" s="125">
        <f>데이터입력!$Y$8</f>
        <v>12</v>
      </c>
      <c r="AJ105" s="97" t="s">
        <v>385</v>
      </c>
      <c r="AL105" s="121">
        <f t="shared" si="48"/>
        <v>0</v>
      </c>
    </row>
    <row r="106" spans="1:38" hidden="1">
      <c r="A106" s="116"/>
      <c r="B106" s="116"/>
      <c r="C106" s="119"/>
      <c r="D106" s="119"/>
      <c r="E106" s="119"/>
      <c r="F106" s="119"/>
      <c r="G106" s="119"/>
      <c r="H106" s="119"/>
      <c r="I106" s="119"/>
      <c r="J106" s="119"/>
      <c r="K106" s="119"/>
      <c r="L106" s="126"/>
      <c r="M106" s="218"/>
      <c r="N106" s="123"/>
      <c r="O106" s="120"/>
      <c r="P106" s="124"/>
      <c r="Q106" s="120"/>
      <c r="R106" s="125"/>
      <c r="S106" s="120"/>
      <c r="T106" s="120"/>
      <c r="U106" s="120"/>
      <c r="V106" s="121"/>
      <c r="W106" s="121"/>
      <c r="X106" s="121"/>
      <c r="Y106" s="121"/>
      <c r="Z106" s="97" t="str">
        <f>IF(AA106="","",SUBTOTAL(2,$AA$93:AA106))</f>
        <v/>
      </c>
      <c r="AA106" s="908" t="str">
        <f>IF(AF106=0,"",IF(데이터입력!$AA$5=TRUE,1,""))</f>
        <v/>
      </c>
      <c r="AB106" s="97" t="s">
        <v>395</v>
      </c>
      <c r="AC106" s="122">
        <v>0.85</v>
      </c>
      <c r="AD106" s="123">
        <f>IF(데이터입력!V20="",ROUND(데이터입력!T20*AC106,-3),ROUND(데이터입력!T20*데이터입력!V20*AC106,-3))</f>
        <v>874000</v>
      </c>
      <c r="AE106" s="97" t="s">
        <v>384</v>
      </c>
      <c r="AF106" s="124">
        <f>데이터입력!U20</f>
        <v>0</v>
      </c>
      <c r="AG106" s="97" t="s">
        <v>384</v>
      </c>
      <c r="AH106" s="125">
        <f>데이터입력!$Y$8</f>
        <v>12</v>
      </c>
      <c r="AJ106" s="97" t="s">
        <v>385</v>
      </c>
      <c r="AL106" s="121">
        <f t="shared" si="48"/>
        <v>0</v>
      </c>
    </row>
    <row r="107" spans="1:38" hidden="1">
      <c r="A107" s="116"/>
      <c r="B107" s="116"/>
      <c r="C107" s="119"/>
      <c r="D107" s="119"/>
      <c r="E107" s="119"/>
      <c r="F107" s="119"/>
      <c r="G107" s="119"/>
      <c r="H107" s="119"/>
      <c r="I107" s="119"/>
      <c r="J107" s="119"/>
      <c r="K107" s="119"/>
      <c r="L107" s="126"/>
      <c r="M107" s="218"/>
      <c r="N107" s="123"/>
      <c r="O107" s="120"/>
      <c r="P107" s="124"/>
      <c r="Q107" s="120"/>
      <c r="R107" s="125"/>
      <c r="S107" s="120"/>
      <c r="T107" s="120"/>
      <c r="U107" s="120"/>
      <c r="V107" s="121"/>
      <c r="W107" s="121"/>
      <c r="X107" s="121"/>
      <c r="Y107" s="121"/>
      <c r="Z107" s="97" t="str">
        <f>IF(AA107="","",SUBTOTAL(2,$AA$93:AA107))</f>
        <v/>
      </c>
      <c r="AA107" s="908" t="str">
        <f>IF(AF107=0,"",IF(데이터입력!$AA$5=TRUE,1,""))</f>
        <v/>
      </c>
      <c r="AB107" s="97" t="s">
        <v>396</v>
      </c>
      <c r="AC107" s="122">
        <v>0.85</v>
      </c>
      <c r="AD107" s="123">
        <f>IF(데이터입력!V21="",ROUND(데이터입력!T21*AC107,-3),ROUND(데이터입력!T21*데이터입력!V21*AC107,-3))</f>
        <v>808000</v>
      </c>
      <c r="AE107" s="97" t="s">
        <v>384</v>
      </c>
      <c r="AF107" s="124">
        <f>데이터입력!U21</f>
        <v>0</v>
      </c>
      <c r="AG107" s="97" t="s">
        <v>384</v>
      </c>
      <c r="AH107" s="125">
        <f>데이터입력!$Y$8</f>
        <v>12</v>
      </c>
      <c r="AJ107" s="97" t="s">
        <v>385</v>
      </c>
      <c r="AL107" s="121">
        <f t="shared" si="48"/>
        <v>0</v>
      </c>
    </row>
    <row r="108" spans="1:38" hidden="1">
      <c r="A108" s="116"/>
      <c r="B108" s="116"/>
      <c r="C108" s="119"/>
      <c r="D108" s="119"/>
      <c r="E108" s="119"/>
      <c r="F108" s="119"/>
      <c r="G108" s="119"/>
      <c r="H108" s="119"/>
      <c r="I108" s="119"/>
      <c r="J108" s="119"/>
      <c r="K108" s="119"/>
      <c r="L108" s="126"/>
      <c r="M108" s="218"/>
      <c r="N108" s="123"/>
      <c r="O108" s="120"/>
      <c r="P108" s="124"/>
      <c r="Q108" s="120"/>
      <c r="R108" s="125"/>
      <c r="S108" s="120"/>
      <c r="T108" s="120"/>
      <c r="U108" s="120"/>
      <c r="V108" s="121"/>
      <c r="W108" s="121"/>
      <c r="X108" s="121"/>
      <c r="Y108" s="121"/>
      <c r="Z108" s="97" t="str">
        <f>IF(AA108="","",SUBTOTAL(2,$AA$93:AA108))</f>
        <v/>
      </c>
      <c r="AA108" s="908" t="str">
        <f>IF(AF108=0,"",IF(데이터입력!$AB$5=TRUE,1,""))</f>
        <v/>
      </c>
      <c r="AB108" s="97" t="s">
        <v>397</v>
      </c>
      <c r="AC108" s="122">
        <v>0.85</v>
      </c>
      <c r="AD108" s="123">
        <f>IF(데이터입력!V22="",ROUND(데이터입력!T22*AC108,-2),ROUND(데이터입력!T22*데이터입력!V22*AC108,-2))</f>
        <v>1017800</v>
      </c>
      <c r="AE108" s="97" t="s">
        <v>384</v>
      </c>
      <c r="AF108" s="124">
        <f>데이터입력!U22</f>
        <v>0</v>
      </c>
      <c r="AG108" s="97" t="s">
        <v>384</v>
      </c>
      <c r="AH108" s="125">
        <f>데이터입력!$Y$8</f>
        <v>12</v>
      </c>
      <c r="AJ108" s="97" t="s">
        <v>385</v>
      </c>
      <c r="AL108" s="121">
        <f t="shared" si="48"/>
        <v>0</v>
      </c>
    </row>
    <row r="109" spans="1:38" hidden="1">
      <c r="A109" s="116"/>
      <c r="B109" s="116"/>
      <c r="C109" s="119"/>
      <c r="D109" s="119"/>
      <c r="E109" s="119"/>
      <c r="F109" s="119"/>
      <c r="G109" s="119"/>
      <c r="H109" s="119"/>
      <c r="I109" s="119"/>
      <c r="J109" s="119"/>
      <c r="K109" s="119"/>
      <c r="L109" s="126"/>
      <c r="M109" s="218"/>
      <c r="N109" s="123"/>
      <c r="O109" s="120"/>
      <c r="P109" s="124"/>
      <c r="Q109" s="120"/>
      <c r="R109" s="125"/>
      <c r="S109" s="120"/>
      <c r="T109" s="120"/>
      <c r="U109" s="120"/>
      <c r="V109" s="121"/>
      <c r="W109" s="121"/>
      <c r="X109" s="121"/>
      <c r="Y109" s="121"/>
      <c r="Z109" s="97" t="str">
        <f>IF(AA109="","",SUBTOTAL(2,$AA$93:AA109))</f>
        <v/>
      </c>
      <c r="AA109" s="908" t="str">
        <f>IF(AF109=0,"",IF(데이터입력!$AB$5=TRUE,1,""))</f>
        <v/>
      </c>
      <c r="AB109" s="97" t="s">
        <v>399</v>
      </c>
      <c r="AC109" s="122">
        <v>0.85</v>
      </c>
      <c r="AD109" s="123">
        <f>IF(데이터입력!V23="",ROUND(데이터입력!T23*AC109,-2),ROUND(데이터입력!T23*데이터입력!V23*AC109,-2))</f>
        <v>609000</v>
      </c>
      <c r="AE109" s="97" t="s">
        <v>384</v>
      </c>
      <c r="AF109" s="124">
        <f>데이터입력!U23</f>
        <v>0</v>
      </c>
      <c r="AG109" s="97" t="s">
        <v>384</v>
      </c>
      <c r="AH109" s="125">
        <f>데이터입력!$Y$8</f>
        <v>12</v>
      </c>
      <c r="AJ109" s="97" t="s">
        <v>385</v>
      </c>
      <c r="AL109" s="121">
        <f t="shared" si="48"/>
        <v>0</v>
      </c>
    </row>
    <row r="110" spans="1:38" hidden="1">
      <c r="A110" s="116"/>
      <c r="B110" s="116"/>
      <c r="C110" s="119"/>
      <c r="D110" s="119"/>
      <c r="E110" s="119"/>
      <c r="F110" s="119"/>
      <c r="G110" s="119"/>
      <c r="H110" s="119"/>
      <c r="I110" s="119"/>
      <c r="J110" s="119"/>
      <c r="K110" s="119"/>
      <c r="L110" s="126"/>
      <c r="M110" s="218"/>
      <c r="N110" s="123"/>
      <c r="O110" s="120"/>
      <c r="P110" s="124"/>
      <c r="Q110" s="120"/>
      <c r="R110" s="125"/>
      <c r="S110" s="120"/>
      <c r="T110" s="120"/>
      <c r="U110" s="120"/>
      <c r="V110" s="121"/>
      <c r="W110" s="121"/>
      <c r="X110" s="121"/>
      <c r="Y110" s="121"/>
      <c r="Z110" s="97" t="str">
        <f>IF(AA110="","",SUBTOTAL(2,$AA$93:AA110))</f>
        <v/>
      </c>
      <c r="AA110" s="908" t="str">
        <f>IF(AF110=0,"",IF(데이터입력!$AB$5=TRUE,1,""))</f>
        <v/>
      </c>
      <c r="AB110" s="97" t="s">
        <v>398</v>
      </c>
      <c r="AC110" s="122">
        <v>0.85</v>
      </c>
      <c r="AD110" s="123">
        <f>IF(데이터입력!V24="",ROUND(데이터입력!T24*AC110,-2),ROUND(데이터입력!T24*데이터입력!V24*AC110,-2))</f>
        <v>452000</v>
      </c>
      <c r="AE110" s="97" t="s">
        <v>384</v>
      </c>
      <c r="AF110" s="124">
        <f>데이터입력!U24</f>
        <v>0</v>
      </c>
      <c r="AG110" s="97" t="s">
        <v>384</v>
      </c>
      <c r="AH110" s="125">
        <f>데이터입력!$Y$8</f>
        <v>12</v>
      </c>
      <c r="AJ110" s="97" t="s">
        <v>385</v>
      </c>
      <c r="AL110" s="121">
        <f t="shared" si="48"/>
        <v>0</v>
      </c>
    </row>
    <row r="111" spans="1:38" hidden="1">
      <c r="A111" s="116"/>
      <c r="B111" s="116"/>
      <c r="C111" s="119"/>
      <c r="D111" s="119"/>
      <c r="E111" s="119"/>
      <c r="F111" s="119"/>
      <c r="G111" s="119"/>
      <c r="H111" s="119"/>
      <c r="I111" s="119"/>
      <c r="J111" s="119"/>
      <c r="K111" s="119"/>
      <c r="L111" s="126"/>
      <c r="M111" s="218"/>
      <c r="N111" s="123"/>
      <c r="O111" s="120"/>
      <c r="P111" s="124"/>
      <c r="Q111" s="120"/>
      <c r="R111" s="125"/>
      <c r="S111" s="120"/>
      <c r="T111" s="120"/>
      <c r="U111" s="120"/>
      <c r="V111" s="121"/>
      <c r="W111" s="121"/>
      <c r="X111" s="121"/>
      <c r="Y111" s="121"/>
      <c r="Z111" s="97" t="str">
        <f>IF(AA111="","",SUBTOTAL(2,$AA$93:AA111))</f>
        <v/>
      </c>
      <c r="AA111" s="908" t="str">
        <f>IF(AF111=0,"",IF(데이터입력!$AC$5=TRUE,1,""))</f>
        <v/>
      </c>
      <c r="AB111" s="97" t="s">
        <v>400</v>
      </c>
      <c r="AC111" s="122">
        <v>0.85</v>
      </c>
      <c r="AD111" s="123">
        <f>IF(데이터입력!V25="",ROUND(데이터입력!T25*AC111,-2),ROUND(데이터입력!T25*데이터입력!V25*AC111,-2))</f>
        <v>75600</v>
      </c>
      <c r="AE111" s="97" t="s">
        <v>384</v>
      </c>
      <c r="AF111" s="905">
        <f>데이터입력!U25</f>
        <v>0</v>
      </c>
      <c r="AG111" s="97" t="s">
        <v>384</v>
      </c>
      <c r="AH111" s="125">
        <f>데이터입력!$Y$8</f>
        <v>12</v>
      </c>
      <c r="AJ111" s="97" t="s">
        <v>385</v>
      </c>
      <c r="AL111" s="121">
        <f t="shared" si="48"/>
        <v>0</v>
      </c>
    </row>
    <row r="112" spans="1:38" hidden="1">
      <c r="A112" s="116"/>
      <c r="B112" s="116"/>
      <c r="C112" s="119"/>
      <c r="D112" s="119"/>
      <c r="E112" s="119"/>
      <c r="F112" s="119"/>
      <c r="G112" s="119"/>
      <c r="H112" s="119"/>
      <c r="I112" s="119"/>
      <c r="J112" s="119"/>
      <c r="K112" s="119"/>
      <c r="L112" s="126"/>
      <c r="M112" s="218"/>
      <c r="N112" s="123"/>
      <c r="O112" s="120"/>
      <c r="P112" s="124"/>
      <c r="Q112" s="120"/>
      <c r="R112" s="125"/>
      <c r="S112" s="120"/>
      <c r="T112" s="120"/>
      <c r="U112" s="120"/>
      <c r="V112" s="121"/>
      <c r="W112" s="121"/>
      <c r="X112" s="121"/>
      <c r="Y112" s="121"/>
      <c r="Z112" s="97" t="str">
        <f>IF(AA112="","",SUBTOTAL(2,$AA$93:AA112))</f>
        <v/>
      </c>
      <c r="AA112" s="908" t="str">
        <f>IF(AF112=0,"",IF(데이터입력!$AD$5=TRUE,1,""))</f>
        <v/>
      </c>
      <c r="AB112" s="97" t="s">
        <v>401</v>
      </c>
      <c r="AC112" s="122">
        <v>0.85</v>
      </c>
      <c r="AD112" s="123">
        <f>IF(데이터입력!V26="",ROUND(데이터입력!T26*AC112,-2),ROUND(데이터입력!T26*데이터입력!V26*AC112,-2))</f>
        <v>42600</v>
      </c>
      <c r="AE112" s="97" t="s">
        <v>384</v>
      </c>
      <c r="AF112" s="905">
        <f>데이터입력!U26</f>
        <v>0</v>
      </c>
      <c r="AG112" s="97" t="s">
        <v>384</v>
      </c>
      <c r="AH112" s="125">
        <f>데이터입력!$Y$8</f>
        <v>12</v>
      </c>
      <c r="AJ112" s="97" t="s">
        <v>385</v>
      </c>
      <c r="AL112" s="121">
        <f t="shared" si="48"/>
        <v>0</v>
      </c>
    </row>
    <row r="113" spans="1:38" hidden="1">
      <c r="A113" s="116"/>
      <c r="B113" s="116"/>
      <c r="C113" s="119"/>
      <c r="D113" s="128"/>
      <c r="E113" s="128"/>
      <c r="F113" s="128"/>
      <c r="G113" s="128"/>
      <c r="H113" s="128"/>
      <c r="I113" s="128"/>
      <c r="J113" s="128"/>
      <c r="K113" s="128"/>
      <c r="L113" s="129"/>
      <c r="M113" s="219"/>
      <c r="N113" s="137"/>
      <c r="O113" s="130"/>
      <c r="P113" s="138"/>
      <c r="Q113" s="130"/>
      <c r="R113" s="139"/>
      <c r="S113" s="130"/>
      <c r="T113" s="130"/>
      <c r="U113" s="130"/>
      <c r="V113" s="140"/>
      <c r="W113" s="140"/>
      <c r="X113" s="140"/>
      <c r="Y113" s="140"/>
      <c r="Z113" s="97" t="str">
        <f>IF(AA113="","",SUBTOTAL(2,$AA$93:AA113))</f>
        <v/>
      </c>
      <c r="AA113" s="908" t="str">
        <f>IF(AF113=0,"",IF(데이터입력!$AE$5=TRUE,1,""))</f>
        <v/>
      </c>
      <c r="AB113" s="97" t="s">
        <v>402</v>
      </c>
      <c r="AC113" s="122">
        <v>0.85</v>
      </c>
      <c r="AD113" s="123">
        <f>IF(데이터입력!V27="",ROUND(데이터입력!T27*AC113,-2),ROUND(데이터입력!T27*데이터입력!V27*AC113,-2))</f>
        <v>55000</v>
      </c>
      <c r="AE113" s="97" t="s">
        <v>384</v>
      </c>
      <c r="AF113" s="905">
        <f>데이터입력!U27</f>
        <v>0</v>
      </c>
      <c r="AG113" s="97" t="s">
        <v>384</v>
      </c>
      <c r="AH113" s="125">
        <f>데이터입력!$Y$8</f>
        <v>12</v>
      </c>
      <c r="AJ113" s="97" t="s">
        <v>385</v>
      </c>
      <c r="AL113" s="121">
        <f t="shared" si="48"/>
        <v>0</v>
      </c>
    </row>
    <row r="114" spans="1:38" ht="36">
      <c r="A114" s="116"/>
      <c r="B114" s="116"/>
      <c r="C114" s="119"/>
      <c r="D114" s="107" t="s">
        <v>413</v>
      </c>
      <c r="E114" s="107">
        <v>406010102</v>
      </c>
      <c r="F114" s="108" t="s">
        <v>83</v>
      </c>
      <c r="G114" s="107" t="s">
        <v>6</v>
      </c>
      <c r="H114" s="109">
        <f>IFERROR(IF(VLOOKUP(K114,데이터입력!$C$3:$L$40,5,FALSE)&lt;1000,ROUNDUP(VLOOKUP(K114,데이터입력!$C$3:$L$40,5,FALSE)*1/1000,0),ROUND(VLOOKUP(K114,데이터입력!$C$3:$L$40,5,FALSE)*1/1000,0)),0)</f>
        <v>0</v>
      </c>
      <c r="I114" s="109">
        <f>IFERROR(IF(F114="06",IF(V114&lt;1000,ROUNDUP((V114)*1/1000,0),ROUND((V114)*1/1000,0)),IF(F114="07",IF(W114&lt;1000,ROUNDUP((W114)*1/1000,0),ROUND((W114)*1/1000,0)),IF(F114="05",IF(X114&lt;1000,ROUNDUP((X114)*1/1000,0),ROUND((X114)*1/1000,0))))),0)</f>
        <v>0</v>
      </c>
      <c r="J114" s="110">
        <f>I114-H114</f>
        <v>0</v>
      </c>
      <c r="K114" s="110" t="str">
        <f>D114&amp;"("&amp;G114&amp;")"</f>
        <v>장기요양급여수입(인건비비율 미반영)(수익사업)</v>
      </c>
      <c r="L114" s="111" t="str">
        <f>D114</f>
        <v>장기요양급여수입(인건비비율 미반영)</v>
      </c>
      <c r="M114" s="224"/>
      <c r="N114" s="113"/>
      <c r="O114" s="114"/>
      <c r="P114" s="113"/>
      <c r="Q114" s="114"/>
      <c r="R114" s="113"/>
      <c r="S114" s="114"/>
      <c r="T114" s="114"/>
      <c r="U114" s="225"/>
      <c r="V114" s="115">
        <f>SUM(V115:V115)</f>
        <v>0</v>
      </c>
      <c r="W114" s="115"/>
      <c r="X114" s="115"/>
      <c r="Y114" s="115">
        <f>SUM(V114:X114)</f>
        <v>0</v>
      </c>
      <c r="Z114" s="97">
        <f>IF(AA114="","",SUBTOTAL(2,$AA$93:AA114))</f>
        <v>4</v>
      </c>
      <c r="AA114" s="908">
        <f>IF(AF114=0,"",IF(OR(데이터입력!$X$5=TRUE,데이터입력!$Y$5=TRUE),1,""))</f>
        <v>1</v>
      </c>
      <c r="AB114" s="97" t="s">
        <v>411</v>
      </c>
      <c r="AC114" s="122">
        <v>1</v>
      </c>
      <c r="AD114" s="123">
        <f>IF(데이터입력!V28="",ROUND(데이터입력!T28*AC114,-3),ROUND(데이터입력!T28*데이터입력!V28*AC114,-3))</f>
        <v>2479000</v>
      </c>
      <c r="AE114" s="97" t="s">
        <v>384</v>
      </c>
      <c r="AF114" s="124">
        <f>데이터입력!U28</f>
        <v>12</v>
      </c>
      <c r="AG114" s="97" t="s">
        <v>384</v>
      </c>
      <c r="AH114" s="125">
        <f>데이터입력!$Y$8</f>
        <v>12</v>
      </c>
      <c r="AJ114" s="97" t="s">
        <v>385</v>
      </c>
      <c r="AL114" s="121">
        <f t="shared" si="48"/>
        <v>356976000</v>
      </c>
    </row>
    <row r="115" spans="1:38">
      <c r="A115" s="116"/>
      <c r="B115" s="116"/>
      <c r="C115" s="119"/>
      <c r="D115" s="119"/>
      <c r="E115" s="119"/>
      <c r="F115" s="119"/>
      <c r="G115" s="119"/>
      <c r="H115" s="119"/>
      <c r="I115" s="119"/>
      <c r="J115" s="119"/>
      <c r="K115" s="119"/>
      <c r="L115" s="126" t="str">
        <f>"    - "&amp;L114</f>
        <v xml:space="preserve">    - 장기요양급여수입(인건비비율 미반영)</v>
      </c>
      <c r="M115" s="218"/>
      <c r="N115" s="123">
        <f>데이터입력!T43</f>
        <v>0</v>
      </c>
      <c r="O115" s="120" t="str">
        <f>IF(P115="","","x ")</f>
        <v/>
      </c>
      <c r="P115" s="124"/>
      <c r="Q115" s="120" t="s">
        <v>404</v>
      </c>
      <c r="R115" s="125">
        <f>IF(VLOOKUP(L114,데이터입력!$R$35:$U$56,4,FALSE)="",데이터입력!$Y$8,VLOOKUP(L114,데이터입력!$R$35:$U$56,4,FALSE))</f>
        <v>12</v>
      </c>
      <c r="S115" s="120"/>
      <c r="T115" s="120" t="s">
        <v>405</v>
      </c>
      <c r="U115" s="226"/>
      <c r="V115" s="121">
        <f>IF(P115=0,N115*R115,N115*P115*R115)</f>
        <v>0</v>
      </c>
      <c r="W115" s="121"/>
      <c r="X115" s="121"/>
      <c r="Y115" s="121"/>
      <c r="Z115" s="97" t="str">
        <f>IF(AA115="","",SUBTOTAL(2,$AA$93:AA115))</f>
        <v/>
      </c>
      <c r="AA115" s="97" t="str">
        <f>IF(AF115=0,"",IF(데이터입력!$AF$5=TRUE,1,""))</f>
        <v/>
      </c>
      <c r="AB115" s="97" t="s">
        <v>412</v>
      </c>
      <c r="AC115" s="122">
        <v>0.85</v>
      </c>
      <c r="AD115" s="123">
        <f>IF(데이터입력!V29="",ROUND(데이터입력!T29*AC115,-3),ROUND(데이터입력!T29*데이터입력!V29*AC115,-3))</f>
        <v>0</v>
      </c>
      <c r="AE115" s="97" t="s">
        <v>384</v>
      </c>
      <c r="AF115" s="906">
        <f>데이터입력!U29</f>
        <v>1</v>
      </c>
      <c r="AG115" s="97" t="s">
        <v>384</v>
      </c>
      <c r="AH115" s="125">
        <f>데이터입력!$Y$8</f>
        <v>12</v>
      </c>
      <c r="AJ115" s="97" t="s">
        <v>385</v>
      </c>
      <c r="AL115" s="121">
        <f t="shared" si="48"/>
        <v>0</v>
      </c>
    </row>
    <row r="116" spans="1:38">
      <c r="A116" s="116"/>
      <c r="B116" s="116"/>
      <c r="C116" s="119"/>
      <c r="D116" s="128"/>
      <c r="E116" s="128"/>
      <c r="F116" s="128"/>
      <c r="G116" s="128"/>
      <c r="H116" s="128"/>
      <c r="I116" s="128"/>
      <c r="J116" s="128"/>
      <c r="K116" s="128"/>
      <c r="L116" s="129"/>
      <c r="M116" s="219"/>
      <c r="N116" s="137"/>
      <c r="O116" s="130"/>
      <c r="P116" s="138"/>
      <c r="Q116" s="130"/>
      <c r="R116" s="139"/>
      <c r="S116" s="130"/>
      <c r="T116" s="130"/>
      <c r="U116" s="227"/>
      <c r="V116" s="140"/>
      <c r="W116" s="140"/>
      <c r="X116" s="140"/>
      <c r="Y116" s="140"/>
      <c r="Z116" s="97">
        <f>IF(AA116="","",SUBTOTAL(2,$AA$93:AA116))</f>
        <v>5</v>
      </c>
      <c r="AA116" s="97">
        <f>IF(AF116=0,"",1)</f>
        <v>1</v>
      </c>
      <c r="AB116" s="97" t="s">
        <v>842</v>
      </c>
      <c r="AC116" s="122">
        <v>1</v>
      </c>
      <c r="AD116" s="123">
        <f>IF(데이터입력!V30="",ROUND(데이터입력!T30*AC116,-3),ROUND(데이터입력!T30*데이터입력!V30*AC116,-3))</f>
        <v>50000</v>
      </c>
      <c r="AE116" s="97" t="s">
        <v>384</v>
      </c>
      <c r="AF116" s="124">
        <f>데이터입력!U30</f>
        <v>6</v>
      </c>
      <c r="AG116" s="97" t="s">
        <v>384</v>
      </c>
      <c r="AH116" s="125">
        <f>데이터입력!$Y$8</f>
        <v>12</v>
      </c>
      <c r="AJ116" s="97" t="s">
        <v>385</v>
      </c>
      <c r="AL116" s="121">
        <f>AD116*AF116*AH116</f>
        <v>3600000</v>
      </c>
    </row>
    <row r="117" spans="1:38" ht="27">
      <c r="A117" s="117"/>
      <c r="B117" s="117"/>
      <c r="C117" s="107" t="s">
        <v>414</v>
      </c>
      <c r="D117" s="107" t="s">
        <v>415</v>
      </c>
      <c r="E117" s="107">
        <v>406010201</v>
      </c>
      <c r="F117" s="108" t="s">
        <v>83</v>
      </c>
      <c r="G117" s="107" t="s">
        <v>6</v>
      </c>
      <c r="H117" s="109">
        <f>IFERROR(IF(VLOOKUP(K117,데이터입력!$C$3:$L$40,5,FALSE)&lt;1000,ROUNDUP(VLOOKUP(K117,데이터입력!$C$3:$L$40,5,FALSE)*1/1000,0),ROUND(VLOOKUP(K117,데이터입력!$C$3:$L$40,5,FALSE)*1/1000,0)),0)</f>
        <v>72000</v>
      </c>
      <c r="I117" s="109">
        <f>IFERROR(IF(F117="06",IF(V117&lt;1000,ROUNDUP((V117)*1/1000,0),ROUND((V117)*1/1000,0)),IF(F117="07",IF(W117&lt;1000,ROUNDUP((W117)*1/1000,0),ROUND((W117)*1/1000,0)),IF(F117="05",IF(X117&lt;1000,ROUNDUP((X117)*1/1000,0),ROUND((X117)*1/1000,0))))),0)</f>
        <v>79200</v>
      </c>
      <c r="J117" s="110">
        <f>I117-H117</f>
        <v>7200</v>
      </c>
      <c r="K117" s="110" t="str">
        <f>D117&amp;"("&amp;G117&amp;")"</f>
        <v>가산금수입(인건비비율 반영)(수익사업)</v>
      </c>
      <c r="L117" s="111" t="str">
        <f>D117</f>
        <v>가산금수입(인건비비율 반영)</v>
      </c>
      <c r="M117" s="112"/>
      <c r="N117" s="113"/>
      <c r="O117" s="114"/>
      <c r="P117" s="113"/>
      <c r="Q117" s="114"/>
      <c r="R117" s="113"/>
      <c r="S117" s="114"/>
      <c r="T117" s="114"/>
      <c r="U117" s="114"/>
      <c r="V117" s="115">
        <f>SUM(V118:V119)</f>
        <v>79200000</v>
      </c>
      <c r="W117" s="115"/>
      <c r="X117" s="115"/>
      <c r="Y117" s="115">
        <f>SUM(V117:X117)</f>
        <v>79200000</v>
      </c>
      <c r="Z117" s="97">
        <f>IF(AA117="","",SUBTOTAL(2,$AA$93:AA117))</f>
        <v>6</v>
      </c>
      <c r="AA117" s="97">
        <f t="shared" ref="AA117:AA119" si="49">IF(AF117=0,"",1)</f>
        <v>1</v>
      </c>
      <c r="AB117" s="97" t="s">
        <v>843</v>
      </c>
      <c r="AC117" s="122">
        <v>1</v>
      </c>
      <c r="AD117" s="123">
        <f>IF(데이터입력!V31="",ROUND(데이터입력!T31*AC117,-3),ROUND(데이터입력!T31*데이터입력!V31*AC117,-3))</f>
        <v>140000</v>
      </c>
      <c r="AE117" s="97" t="s">
        <v>384</v>
      </c>
      <c r="AF117" s="124">
        <f>데이터입력!U31</f>
        <v>4</v>
      </c>
      <c r="AG117" s="97" t="s">
        <v>384</v>
      </c>
      <c r="AH117" s="125">
        <f>데이터입력!$Y$8</f>
        <v>12</v>
      </c>
      <c r="AJ117" s="97" t="s">
        <v>385</v>
      </c>
      <c r="AL117" s="121">
        <f t="shared" ref="AL117:AL119" si="50">AD117*AF117*AH117</f>
        <v>6720000</v>
      </c>
    </row>
    <row r="118" spans="1:38">
      <c r="A118" s="117"/>
      <c r="B118" s="117"/>
      <c r="C118" s="117"/>
      <c r="D118" s="117"/>
      <c r="E118" s="117"/>
      <c r="F118" s="131"/>
      <c r="G118" s="117"/>
      <c r="H118" s="132"/>
      <c r="I118" s="132"/>
      <c r="J118" s="132"/>
      <c r="K118" s="206"/>
      <c r="L118" s="126" t="str">
        <f>"    - "&amp;L117</f>
        <v xml:space="preserve">    - 가산금수입(인건비비율 반영)</v>
      </c>
      <c r="M118" s="210"/>
      <c r="N118" s="123">
        <f>데이터입력!T44</f>
        <v>6600000</v>
      </c>
      <c r="O118" s="120" t="str">
        <f>IF(P118="","","x ")</f>
        <v/>
      </c>
      <c r="P118" s="124"/>
      <c r="Q118" s="120" t="s">
        <v>404</v>
      </c>
      <c r="R118" s="125">
        <f>IF(VLOOKUP(L117,데이터입력!$R$35:$U$56,4,FALSE)="",데이터입력!$Y$8,VLOOKUP(L117,데이터입력!$R$35:$U$56,4,FALSE))</f>
        <v>12</v>
      </c>
      <c r="S118" s="120"/>
      <c r="T118" s="120" t="s">
        <v>405</v>
      </c>
      <c r="U118" s="120"/>
      <c r="V118" s="121">
        <f>IF(P118=0,N118*R118,N118*P118*R118)</f>
        <v>79200000</v>
      </c>
      <c r="W118" s="121"/>
      <c r="X118" s="121"/>
      <c r="Y118" s="121"/>
      <c r="Z118" s="97">
        <f>IF(AA118="","",SUBTOTAL(2,$AA$93:AA118))</f>
        <v>7</v>
      </c>
      <c r="AA118" s="97">
        <f t="shared" si="49"/>
        <v>1</v>
      </c>
      <c r="AB118" s="97" t="s">
        <v>844</v>
      </c>
      <c r="AC118" s="122">
        <v>1</v>
      </c>
      <c r="AD118" s="123">
        <f>IF(데이터입력!V32="",ROUND(데이터입력!T32*AC118,-3),ROUND(데이터입력!T32*데이터입력!V32*AC118,-3))</f>
        <v>160000</v>
      </c>
      <c r="AE118" s="97" t="s">
        <v>384</v>
      </c>
      <c r="AF118" s="124">
        <f>데이터입력!U32</f>
        <v>3</v>
      </c>
      <c r="AG118" s="97" t="s">
        <v>384</v>
      </c>
      <c r="AH118" s="125">
        <f>데이터입력!$Y$8</f>
        <v>12</v>
      </c>
      <c r="AJ118" s="97" t="s">
        <v>385</v>
      </c>
      <c r="AL118" s="121">
        <f t="shared" si="50"/>
        <v>5760000</v>
      </c>
    </row>
    <row r="119" spans="1:38">
      <c r="A119" s="117"/>
      <c r="B119" s="117"/>
      <c r="C119" s="117"/>
      <c r="D119" s="133"/>
      <c r="E119" s="133"/>
      <c r="F119" s="134"/>
      <c r="G119" s="133"/>
      <c r="H119" s="135"/>
      <c r="I119" s="135"/>
      <c r="J119" s="135"/>
      <c r="K119" s="207"/>
      <c r="L119" s="129"/>
      <c r="M119" s="136"/>
      <c r="N119" s="137"/>
      <c r="O119" s="130"/>
      <c r="P119" s="138"/>
      <c r="Q119" s="130"/>
      <c r="R119" s="139"/>
      <c r="S119" s="130"/>
      <c r="T119" s="130"/>
      <c r="U119" s="130"/>
      <c r="V119" s="140"/>
      <c r="W119" s="140"/>
      <c r="X119" s="140"/>
      <c r="Y119" s="140"/>
      <c r="Z119" s="97">
        <f>IF(AA119="","",SUBTOTAL(2,$AA$93:AA119))</f>
        <v>8</v>
      </c>
      <c r="AA119" s="97">
        <f t="shared" si="49"/>
        <v>1</v>
      </c>
      <c r="AB119" s="97" t="s">
        <v>845</v>
      </c>
      <c r="AC119" s="122">
        <v>1</v>
      </c>
      <c r="AD119" s="123">
        <f>IF(데이터입력!V33="",ROUND(데이터입력!T33*AC119,-3),ROUND(데이터입력!T33*데이터입력!V33*AC119,-3))</f>
        <v>180000</v>
      </c>
      <c r="AE119" s="97" t="s">
        <v>384</v>
      </c>
      <c r="AF119" s="124">
        <f>데이터입력!U33</f>
        <v>5</v>
      </c>
      <c r="AG119" s="97" t="s">
        <v>384</v>
      </c>
      <c r="AH119" s="125">
        <f>데이터입력!$Y$8</f>
        <v>12</v>
      </c>
      <c r="AJ119" s="97" t="s">
        <v>385</v>
      </c>
      <c r="AL119" s="121">
        <f t="shared" si="50"/>
        <v>10800000</v>
      </c>
    </row>
    <row r="120" spans="1:38" ht="27">
      <c r="A120" s="117"/>
      <c r="B120" s="117"/>
      <c r="C120" s="117"/>
      <c r="D120" s="107" t="s">
        <v>416</v>
      </c>
      <c r="E120" s="107">
        <v>406010202</v>
      </c>
      <c r="F120" s="108" t="s">
        <v>83</v>
      </c>
      <c r="G120" s="107" t="s">
        <v>6</v>
      </c>
      <c r="H120" s="109">
        <f>IFERROR(IF(VLOOKUP(K120,데이터입력!$C$3:$L$40,5,FALSE)&lt;1000,ROUNDUP(VLOOKUP(K120,데이터입력!$C$3:$L$40,5,FALSE)*1/1000,0),ROUND(VLOOKUP(K120,데이터입력!$C$3:$L$40,5,FALSE)*1/1000,0)),0)</f>
        <v>0</v>
      </c>
      <c r="I120" s="109">
        <f>IFERROR(IF(F120="06",IF(V120&lt;1000,ROUNDUP((V120)*1/1000,0),ROUND((V120)*1/1000,0)),IF(F120="07",IF(W120&lt;1000,ROUNDUP((W120)*1/1000,0),ROUND((W120)*1/1000,0)),IF(F120="05",IF(X120&lt;1000,ROUNDUP((X120)*1/1000,0),ROUND((X120)*1/1000,0))))),0)</f>
        <v>0</v>
      </c>
      <c r="J120" s="110">
        <f>I120-H120</f>
        <v>0</v>
      </c>
      <c r="K120" s="110" t="str">
        <f>D120&amp;"("&amp;G120&amp;")"</f>
        <v>가산금수입(인건비비율 미반영)(수익사업)</v>
      </c>
      <c r="L120" s="111" t="str">
        <f>D120</f>
        <v>가산금수입(인건비비율 미반영)</v>
      </c>
      <c r="M120" s="112"/>
      <c r="N120" s="113"/>
      <c r="O120" s="114"/>
      <c r="P120" s="113"/>
      <c r="Q120" s="114"/>
      <c r="R120" s="113"/>
      <c r="S120" s="114"/>
      <c r="T120" s="114"/>
      <c r="U120" s="114"/>
      <c r="V120" s="115">
        <f>SUM(V121:V122)</f>
        <v>0</v>
      </c>
      <c r="W120" s="115"/>
      <c r="X120" s="115"/>
      <c r="Y120" s="115">
        <f>SUM(V120:X120)</f>
        <v>0</v>
      </c>
    </row>
    <row r="121" spans="1:38">
      <c r="A121" s="116"/>
      <c r="B121" s="116"/>
      <c r="C121" s="119"/>
      <c r="D121" s="119"/>
      <c r="E121" s="119"/>
      <c r="F121" s="119"/>
      <c r="G121" s="119"/>
      <c r="H121" s="119"/>
      <c r="I121" s="119"/>
      <c r="J121" s="119"/>
      <c r="K121" s="204"/>
      <c r="L121" s="126" t="str">
        <f>"    - "&amp;L120</f>
        <v xml:space="preserve">    - 가산금수입(인건비비율 미반영)</v>
      </c>
      <c r="M121" s="218"/>
      <c r="N121" s="123">
        <f>데이터입력!T45</f>
        <v>0</v>
      </c>
      <c r="O121" s="120" t="str">
        <f>IF(P121="","","x ")</f>
        <v/>
      </c>
      <c r="P121" s="124"/>
      <c r="Q121" s="120" t="s">
        <v>404</v>
      </c>
      <c r="R121" s="125">
        <f>IF(VLOOKUP(L120,데이터입력!$R$35:$U$56,4,FALSE)="",데이터입력!$Y$8,VLOOKUP(L120,데이터입력!$R$35:$U$56,4,FALSE))</f>
        <v>12</v>
      </c>
      <c r="S121" s="120"/>
      <c r="T121" s="120" t="s">
        <v>405</v>
      </c>
      <c r="U121" s="120"/>
      <c r="V121" s="121">
        <f>IF(P121=0,N121*R121,N121*P121*R121)</f>
        <v>0</v>
      </c>
      <c r="W121" s="121"/>
      <c r="X121" s="121"/>
      <c r="Y121" s="121"/>
    </row>
    <row r="122" spans="1:38" hidden="1">
      <c r="A122" s="117"/>
      <c r="B122" s="117"/>
      <c r="C122" s="117"/>
      <c r="D122" s="133"/>
      <c r="E122" s="133"/>
      <c r="F122" s="134"/>
      <c r="G122" s="133"/>
      <c r="H122" s="135"/>
      <c r="I122" s="135"/>
      <c r="J122" s="135"/>
      <c r="K122" s="207"/>
      <c r="L122" s="129"/>
      <c r="M122" s="136"/>
      <c r="N122" s="137"/>
      <c r="O122" s="130"/>
      <c r="P122" s="138"/>
      <c r="Q122" s="130"/>
      <c r="R122" s="139"/>
      <c r="S122" s="130"/>
      <c r="T122" s="130"/>
      <c r="U122" s="130"/>
      <c r="V122" s="140"/>
      <c r="W122" s="140"/>
      <c r="X122" s="140"/>
      <c r="Y122" s="140"/>
    </row>
    <row r="123" spans="1:38">
      <c r="A123" s="259" t="s">
        <v>317</v>
      </c>
      <c r="B123" s="260" t="s">
        <v>317</v>
      </c>
      <c r="C123" s="262"/>
      <c r="D123" s="262"/>
      <c r="E123" s="262"/>
      <c r="F123" s="262"/>
      <c r="G123" s="262"/>
      <c r="H123" s="250">
        <f>SUM(H124,H127)</f>
        <v>0</v>
      </c>
      <c r="I123" s="250">
        <f>SUM(I124,I127)</f>
        <v>0</v>
      </c>
      <c r="J123" s="250">
        <f>SUM(J124,J127)</f>
        <v>0</v>
      </c>
      <c r="K123" s="250"/>
      <c r="L123" s="263"/>
      <c r="M123" s="263"/>
      <c r="N123" s="263"/>
      <c r="O123" s="263"/>
      <c r="P123" s="263"/>
      <c r="Q123" s="263"/>
      <c r="R123" s="263"/>
      <c r="S123" s="263"/>
      <c r="T123" s="263"/>
      <c r="U123" s="263"/>
      <c r="V123" s="252">
        <f>SUM(V124,V127)</f>
        <v>0</v>
      </c>
      <c r="W123" s="252">
        <f t="shared" ref="W123:Y123" si="51">SUM(W124,W127)</f>
        <v>0</v>
      </c>
      <c r="X123" s="252">
        <f t="shared" si="51"/>
        <v>0</v>
      </c>
      <c r="Y123" s="252">
        <f t="shared" si="51"/>
        <v>0</v>
      </c>
    </row>
    <row r="124" spans="1:38">
      <c r="A124" s="107"/>
      <c r="B124" s="107"/>
      <c r="C124" s="107" t="s">
        <v>25</v>
      </c>
      <c r="D124" s="107" t="s">
        <v>25</v>
      </c>
      <c r="E124" s="107">
        <v>407010101</v>
      </c>
      <c r="F124" s="108" t="s">
        <v>83</v>
      </c>
      <c r="G124" s="107" t="s">
        <v>6</v>
      </c>
      <c r="H124" s="109">
        <f>IFERROR(IF(VLOOKUP(K124,데이터입력!$C$3:$L$40,5,FALSE)&lt;1000,ROUNDUP(VLOOKUP(K124,데이터입력!$C$3:$L$40,5,FALSE)*1/1000,0),ROUND(VLOOKUP(K124,데이터입력!$C$3:$L$40,5,FALSE)*1/1000,0)),0)</f>
        <v>0</v>
      </c>
      <c r="I124" s="109">
        <f>IFERROR(IF(F124="06",IF(V124&lt;1000,ROUNDUP((V124)*1/1000,0),ROUND((V124)*1/1000,0)),IF(F124="07",IF(W124&lt;1000,ROUNDUP((W124)*1/1000,0),ROUND((W124)*1/1000,0)),IF(F124="05",IF(X124&lt;1000,ROUNDUP((X124)*1/1000,0),ROUND((X124)*1/1000,0))))),0)</f>
        <v>0</v>
      </c>
      <c r="J124" s="110">
        <f>I124-H124</f>
        <v>0</v>
      </c>
      <c r="K124" s="110" t="str">
        <f>D124&amp;"("&amp;G124&amp;")"</f>
        <v>금융기관차입금(수익사업)</v>
      </c>
      <c r="L124" s="111" t="str">
        <f>D124</f>
        <v>금융기관차입금</v>
      </c>
      <c r="M124" s="112"/>
      <c r="N124" s="113"/>
      <c r="O124" s="114"/>
      <c r="P124" s="113"/>
      <c r="Q124" s="114"/>
      <c r="R124" s="113"/>
      <c r="S124" s="114"/>
      <c r="T124" s="114"/>
      <c r="U124" s="114"/>
      <c r="V124" s="115">
        <f>SUM(V125:V126)</f>
        <v>0</v>
      </c>
      <c r="W124" s="115">
        <f t="shared" ref="W124:X124" si="52">SUM(W125:W126)</f>
        <v>0</v>
      </c>
      <c r="X124" s="115">
        <f t="shared" si="52"/>
        <v>0</v>
      </c>
      <c r="Y124" s="115">
        <f>SUM(V124:X124)</f>
        <v>0</v>
      </c>
    </row>
    <row r="125" spans="1:38">
      <c r="A125" s="117"/>
      <c r="B125" s="117"/>
      <c r="C125" s="117"/>
      <c r="D125" s="117"/>
      <c r="E125" s="117"/>
      <c r="F125" s="131"/>
      <c r="G125" s="117"/>
      <c r="H125" s="132"/>
      <c r="I125" s="132"/>
      <c r="J125" s="132"/>
      <c r="K125" s="206"/>
      <c r="L125" s="126" t="str">
        <f>"    - "&amp;L124</f>
        <v xml:space="preserve">    - 금융기관차입금</v>
      </c>
      <c r="M125" s="210"/>
      <c r="N125" s="123">
        <f>IF(P125="",ROUNDUP(데이터입력!T46/R125,-3),ROUNDUP(데이터입력!T46/P125/R125,-3))</f>
        <v>0</v>
      </c>
      <c r="O125" s="120" t="str">
        <f>IF(P125="","","x ")</f>
        <v/>
      </c>
      <c r="P125" s="124"/>
      <c r="Q125" s="120" t="s">
        <v>404</v>
      </c>
      <c r="R125" s="125">
        <f>IF(VLOOKUP(L124,데이터입력!$R$35:$U$56,4,FALSE)="",데이터입력!$Y$8,VLOOKUP(L124,데이터입력!$R$35:$U$56,4,FALSE))</f>
        <v>12</v>
      </c>
      <c r="S125" s="120"/>
      <c r="T125" s="120" t="s">
        <v>405</v>
      </c>
      <c r="U125" s="120"/>
      <c r="V125" s="121">
        <f>IF(P125="",N125*R125,N125*P125*R125)</f>
        <v>0</v>
      </c>
      <c r="W125" s="121"/>
      <c r="X125" s="121"/>
      <c r="Y125" s="121"/>
    </row>
    <row r="126" spans="1:38" hidden="1">
      <c r="A126" s="117"/>
      <c r="B126" s="117"/>
      <c r="C126" s="133"/>
      <c r="D126" s="133"/>
      <c r="E126" s="133"/>
      <c r="F126" s="134"/>
      <c r="G126" s="133"/>
      <c r="H126" s="135"/>
      <c r="I126" s="135"/>
      <c r="J126" s="135"/>
      <c r="K126" s="207"/>
      <c r="L126" s="129" t="s">
        <v>406</v>
      </c>
      <c r="M126" s="136"/>
      <c r="N126" s="137"/>
      <c r="O126" s="130"/>
      <c r="P126" s="138"/>
      <c r="Q126" s="130"/>
      <c r="R126" s="139"/>
      <c r="S126" s="130"/>
      <c r="T126" s="130" t="s">
        <v>405</v>
      </c>
      <c r="U126" s="130"/>
      <c r="V126" s="140">
        <f>IF(P126=0,N126*R126,N126*P126*R126)</f>
        <v>0</v>
      </c>
      <c r="W126" s="140"/>
      <c r="X126" s="140"/>
      <c r="Y126" s="140"/>
    </row>
    <row r="127" spans="1:38">
      <c r="A127" s="117"/>
      <c r="B127" s="117"/>
      <c r="C127" s="107" t="s">
        <v>26</v>
      </c>
      <c r="D127" s="107" t="s">
        <v>26</v>
      </c>
      <c r="E127" s="107">
        <v>407010201</v>
      </c>
      <c r="F127" s="108" t="s">
        <v>83</v>
      </c>
      <c r="G127" s="107" t="s">
        <v>6</v>
      </c>
      <c r="H127" s="109">
        <f>IFERROR(IF(VLOOKUP(K127,데이터입력!$C$3:$L$40,5,FALSE)&lt;1000,ROUNDUP(VLOOKUP(K127,데이터입력!$C$3:$L$40,5,FALSE)*1/1000,0),ROUND(VLOOKUP(K127,데이터입력!$C$3:$L$40,5,FALSE)*1/1000,0)),0)</f>
        <v>0</v>
      </c>
      <c r="I127" s="109">
        <f>IFERROR(IF(F127="06",IF(V127&lt;1000,ROUNDUP((V127)*1/1000,0),ROUND((V127)*1/1000,0)),IF(F127="07",IF(W127&lt;1000,ROUNDUP((W127)*1/1000,0),ROUND((W127)*1/1000,0)),IF(F127="05",IF(X127&lt;1000,ROUNDUP((X127)*1/1000,0),ROUND((X127)*1/1000,0))))),0)</f>
        <v>0</v>
      </c>
      <c r="J127" s="110">
        <f>I127-H127</f>
        <v>0</v>
      </c>
      <c r="K127" s="110" t="str">
        <f>D127&amp;"("&amp;G127&amp;")"</f>
        <v>기타차입금(수익사업)</v>
      </c>
      <c r="L127" s="111" t="str">
        <f>D127</f>
        <v>기타차입금</v>
      </c>
      <c r="M127" s="112"/>
      <c r="N127" s="113"/>
      <c r="O127" s="114"/>
      <c r="P127" s="113"/>
      <c r="Q127" s="114"/>
      <c r="R127" s="113"/>
      <c r="S127" s="114"/>
      <c r="T127" s="114"/>
      <c r="U127" s="114"/>
      <c r="V127" s="115">
        <f>SUM(V128:V129)</f>
        <v>0</v>
      </c>
      <c r="W127" s="115">
        <f t="shared" ref="W127:X127" si="53">SUM(W128:W129)</f>
        <v>0</v>
      </c>
      <c r="X127" s="115">
        <f t="shared" si="53"/>
        <v>0</v>
      </c>
      <c r="Y127" s="115">
        <f>SUM(V127:X127)</f>
        <v>0</v>
      </c>
    </row>
    <row r="128" spans="1:38">
      <c r="A128" s="117"/>
      <c r="B128" s="117"/>
      <c r="C128" s="117"/>
      <c r="D128" s="117"/>
      <c r="E128" s="117"/>
      <c r="F128" s="131"/>
      <c r="G128" s="117"/>
      <c r="H128" s="132"/>
      <c r="I128" s="132"/>
      <c r="J128" s="132"/>
      <c r="K128" s="206"/>
      <c r="L128" s="126" t="str">
        <f>"    - "&amp;L127</f>
        <v xml:space="preserve">    - 기타차입금</v>
      </c>
      <c r="M128" s="210"/>
      <c r="N128" s="123">
        <f>IF(P128="",ROUNDUP(데이터입력!T47/R128,-3),ROUNDUP(데이터입력!T47/P128/R128,-3))</f>
        <v>0</v>
      </c>
      <c r="O128" s="120" t="str">
        <f>IF(P128="","","x ")</f>
        <v/>
      </c>
      <c r="P128" s="124"/>
      <c r="Q128" s="120" t="s">
        <v>404</v>
      </c>
      <c r="R128" s="125">
        <f>IF(VLOOKUP(L127,데이터입력!$R$35:$U$56,4,FALSE)="",데이터입력!$Y$8,VLOOKUP(L127,데이터입력!$R$35:$U$56,4,FALSE))</f>
        <v>12</v>
      </c>
      <c r="S128" s="120"/>
      <c r="T128" s="120" t="s">
        <v>405</v>
      </c>
      <c r="U128" s="120"/>
      <c r="V128" s="121">
        <f>IF(P128="",N128*R128,N128*P128*R128)</f>
        <v>0</v>
      </c>
      <c r="W128" s="121"/>
      <c r="X128" s="121"/>
      <c r="Y128" s="121"/>
    </row>
    <row r="129" spans="1:25" hidden="1">
      <c r="A129" s="133"/>
      <c r="B129" s="133"/>
      <c r="C129" s="133"/>
      <c r="D129" s="133"/>
      <c r="E129" s="133"/>
      <c r="F129" s="134"/>
      <c r="G129" s="133"/>
      <c r="H129" s="135"/>
      <c r="I129" s="135"/>
      <c r="J129" s="135"/>
      <c r="K129" s="207"/>
      <c r="L129" s="129" t="s">
        <v>406</v>
      </c>
      <c r="M129" s="136"/>
      <c r="N129" s="137">
        <v>0</v>
      </c>
      <c r="O129" s="130" t="s">
        <v>404</v>
      </c>
      <c r="P129" s="138"/>
      <c r="Q129" s="130" t="s">
        <v>404</v>
      </c>
      <c r="R129" s="139">
        <f>데이터입력!$Y$8</f>
        <v>12</v>
      </c>
      <c r="S129" s="130"/>
      <c r="T129" s="130" t="s">
        <v>405</v>
      </c>
      <c r="U129" s="130"/>
      <c r="V129" s="140">
        <f>IF(P129=0,N129*R129,N129*P129*R129)</f>
        <v>0</v>
      </c>
      <c r="W129" s="140"/>
      <c r="X129" s="140"/>
      <c r="Y129" s="140"/>
    </row>
    <row r="130" spans="1:25">
      <c r="A130" s="259" t="s">
        <v>321</v>
      </c>
      <c r="B130" s="260" t="s">
        <v>321</v>
      </c>
      <c r="C130" s="262"/>
      <c r="D130" s="262"/>
      <c r="E130" s="262"/>
      <c r="F130" s="262"/>
      <c r="G130" s="262"/>
      <c r="H130" s="250">
        <f>SUM(H131,H134,H137,H140)</f>
        <v>12000</v>
      </c>
      <c r="I130" s="250">
        <f>SUM(I131,I134,I137,I140)</f>
        <v>12000</v>
      </c>
      <c r="J130" s="250">
        <f>SUM(J131,J134,J137,J140)</f>
        <v>0</v>
      </c>
      <c r="K130" s="250"/>
      <c r="L130" s="263"/>
      <c r="M130" s="263"/>
      <c r="N130" s="263"/>
      <c r="O130" s="263"/>
      <c r="P130" s="263"/>
      <c r="Q130" s="263"/>
      <c r="R130" s="263"/>
      <c r="S130" s="263"/>
      <c r="T130" s="263"/>
      <c r="U130" s="263"/>
      <c r="V130" s="252">
        <f>SUM(V131,V134,V137,V140)</f>
        <v>12000000</v>
      </c>
      <c r="W130" s="252">
        <f t="shared" ref="W130:Y130" si="54">SUM(W131,W134,W137,W140)</f>
        <v>0</v>
      </c>
      <c r="X130" s="252">
        <f t="shared" si="54"/>
        <v>0</v>
      </c>
      <c r="Y130" s="252">
        <f t="shared" si="54"/>
        <v>12000000</v>
      </c>
    </row>
    <row r="131" spans="1:25">
      <c r="A131" s="107"/>
      <c r="B131" s="107"/>
      <c r="C131" s="107" t="s">
        <v>27</v>
      </c>
      <c r="D131" s="107" t="s">
        <v>27</v>
      </c>
      <c r="E131" s="107">
        <v>408010101</v>
      </c>
      <c r="F131" s="108" t="s">
        <v>83</v>
      </c>
      <c r="G131" s="107" t="s">
        <v>6</v>
      </c>
      <c r="H131" s="109">
        <f>IFERROR(IF(VLOOKUP(K131,데이터입력!$C$3:$L$40,5,FALSE)&lt;1000,ROUNDUP(VLOOKUP(K131,데이터입력!$C$3:$L$40,5,FALSE)*1/1000,0),ROUND(VLOOKUP(K131,데이터입력!$C$3:$L$40,5,FALSE)*1/1000,0)),0)</f>
        <v>0</v>
      </c>
      <c r="I131" s="109">
        <f>IFERROR(IF(F131="06",IF(V131&lt;1000,ROUNDUP((V131)*1/1000,0),ROUND((V131)*1/1000,0)),IF(F131="07",IF(W131&lt;1000,ROUNDUP((W131)*1/1000,0),ROUND((W131)*1/1000,0)),IF(F131="05",IF(X131&lt;1000,ROUNDUP((X131)*1/1000,0),ROUND((X131)*1/1000,0))))),0)</f>
        <v>0</v>
      </c>
      <c r="J131" s="110">
        <f>I131-H131</f>
        <v>0</v>
      </c>
      <c r="K131" s="110" t="str">
        <f>D131&amp;"("&amp;G131&amp;")"</f>
        <v>법인전입금(수익사업)</v>
      </c>
      <c r="L131" s="222" t="str">
        <f>D131</f>
        <v>법인전입금</v>
      </c>
      <c r="M131" s="112"/>
      <c r="N131" s="113"/>
      <c r="O131" s="114"/>
      <c r="P131" s="113"/>
      <c r="Q131" s="114"/>
      <c r="R131" s="113"/>
      <c r="S131" s="114"/>
      <c r="T131" s="114"/>
      <c r="U131" s="114"/>
      <c r="V131" s="115">
        <f>SUM(V132:V133)</f>
        <v>0</v>
      </c>
      <c r="W131" s="115">
        <f t="shared" ref="W131:X131" si="55">SUM(W132:W133)</f>
        <v>0</v>
      </c>
      <c r="X131" s="115">
        <f t="shared" si="55"/>
        <v>0</v>
      </c>
      <c r="Y131" s="115">
        <f>SUM(V131:X131)</f>
        <v>0</v>
      </c>
    </row>
    <row r="132" spans="1:25">
      <c r="A132" s="117"/>
      <c r="B132" s="117"/>
      <c r="C132" s="117"/>
      <c r="D132" s="117"/>
      <c r="E132" s="117"/>
      <c r="F132" s="131"/>
      <c r="G132" s="117"/>
      <c r="H132" s="132"/>
      <c r="I132" s="132"/>
      <c r="J132" s="132"/>
      <c r="K132" s="206"/>
      <c r="L132" s="126" t="str">
        <f>"    - "&amp;L131</f>
        <v xml:space="preserve">    - 법인전입금</v>
      </c>
      <c r="M132" s="210"/>
      <c r="N132" s="123">
        <f>IF(P132="",ROUNDUP(데이터입력!T48/R132,-3),ROUNDUP(데이터입력!T48/P132/R132,-3))</f>
        <v>0</v>
      </c>
      <c r="O132" s="120" t="str">
        <f>IF(P132="","","x ")</f>
        <v/>
      </c>
      <c r="P132" s="124"/>
      <c r="Q132" s="120" t="s">
        <v>404</v>
      </c>
      <c r="R132" s="125">
        <f>IF(VLOOKUP(L131,데이터입력!$R$35:$U$56,4,FALSE)="",데이터입력!$Y$8,VLOOKUP(L131,데이터입력!$R$35:$U$56,4,FALSE))</f>
        <v>12</v>
      </c>
      <c r="S132" s="120"/>
      <c r="T132" s="120" t="s">
        <v>405</v>
      </c>
      <c r="U132" s="120"/>
      <c r="V132" s="121">
        <f>IF(P132="",N132*R132,N132*P132*R132)</f>
        <v>0</v>
      </c>
      <c r="W132" s="121"/>
      <c r="X132" s="121"/>
      <c r="Y132" s="121"/>
    </row>
    <row r="133" spans="1:25" hidden="1">
      <c r="A133" s="117"/>
      <c r="B133" s="117"/>
      <c r="C133" s="133"/>
      <c r="D133" s="133"/>
      <c r="E133" s="133"/>
      <c r="F133" s="134"/>
      <c r="G133" s="133"/>
      <c r="H133" s="135"/>
      <c r="I133" s="135"/>
      <c r="J133" s="135"/>
      <c r="K133" s="207"/>
      <c r="L133" s="129" t="s">
        <v>406</v>
      </c>
      <c r="M133" s="136"/>
      <c r="N133" s="137"/>
      <c r="O133" s="130"/>
      <c r="P133" s="138"/>
      <c r="Q133" s="130"/>
      <c r="R133" s="139"/>
      <c r="S133" s="130"/>
      <c r="T133" s="130" t="s">
        <v>405</v>
      </c>
      <c r="U133" s="130"/>
      <c r="V133" s="140">
        <f>IF(P133=0,N133*R133,N133*P133*R133)</f>
        <v>0</v>
      </c>
      <c r="W133" s="140"/>
      <c r="X133" s="140"/>
      <c r="Y133" s="140"/>
    </row>
    <row r="134" spans="1:25">
      <c r="A134" s="117"/>
      <c r="B134" s="117"/>
      <c r="C134" s="1654" t="s">
        <v>28</v>
      </c>
      <c r="D134" s="1654" t="s">
        <v>28</v>
      </c>
      <c r="E134" s="107">
        <v>408010201</v>
      </c>
      <c r="F134" s="108" t="s">
        <v>85</v>
      </c>
      <c r="G134" s="107" t="s">
        <v>19</v>
      </c>
      <c r="H134" s="109">
        <f>IFERROR(IF(VLOOKUP(K134,데이터입력!$C$3:$L$40,5,FALSE)&lt;1000,ROUNDUP(VLOOKUP(K134,데이터입력!$C$3:$L$40,5,FALSE)*1/1000,0),ROUND(VLOOKUP(K134,데이터입력!$C$3:$L$40,5,FALSE)*1/1000,0)),0)</f>
        <v>0</v>
      </c>
      <c r="I134" s="109">
        <f>IFERROR(IF(F134="06",IF(V134&lt;1000,ROUNDUP((V134)*1/1000,0),ROUND((V134)*1/1000,0)),IF(F134="07",IF(W134&lt;1000,ROUNDUP((W134)*1/1000,0),ROUND((W134)*1/1000,0)),IF(F134="05",IF(X134&lt;1000,ROUNDUP((X134)*1/1000,0),ROUND((X134)*1/1000,0))))),0)</f>
        <v>0</v>
      </c>
      <c r="J134" s="110">
        <f>I134-H134</f>
        <v>0</v>
      </c>
      <c r="K134" s="110" t="str">
        <f>D134</f>
        <v>법인전입금(후원금)</v>
      </c>
      <c r="L134" s="111" t="str">
        <f>D134</f>
        <v>법인전입금(후원금)</v>
      </c>
      <c r="M134" s="112"/>
      <c r="N134" s="113"/>
      <c r="O134" s="114"/>
      <c r="P134" s="113"/>
      <c r="Q134" s="114"/>
      <c r="R134" s="113"/>
      <c r="S134" s="114"/>
      <c r="T134" s="114"/>
      <c r="U134" s="114"/>
      <c r="V134" s="115">
        <f>SUM(V135:V136)</f>
        <v>0</v>
      </c>
      <c r="W134" s="115">
        <f t="shared" ref="W134:X134" si="56">SUM(W135:W136)</f>
        <v>0</v>
      </c>
      <c r="X134" s="115">
        <f t="shared" si="56"/>
        <v>0</v>
      </c>
      <c r="Y134" s="115">
        <f>SUM(V134:X134)</f>
        <v>0</v>
      </c>
    </row>
    <row r="135" spans="1:25">
      <c r="A135" s="117"/>
      <c r="B135" s="117"/>
      <c r="C135" s="1655"/>
      <c r="D135" s="1655"/>
      <c r="E135" s="117"/>
      <c r="F135" s="131"/>
      <c r="G135" s="117"/>
      <c r="H135" s="132"/>
      <c r="I135" s="132"/>
      <c r="J135" s="132"/>
      <c r="K135" s="206"/>
      <c r="L135" s="126" t="str">
        <f>"    - "&amp;L134</f>
        <v xml:space="preserve">    - 법인전입금(후원금)</v>
      </c>
      <c r="M135" s="210"/>
      <c r="N135" s="123">
        <f>IF(P135="",ROUNDUP(데이터입력!T65/R135,-3),ROUNDUP(데이터입력!T65/P135/R135,-3))</f>
        <v>0</v>
      </c>
      <c r="O135" s="120" t="str">
        <f>IF(P135="","","x ")</f>
        <v/>
      </c>
      <c r="P135" s="124"/>
      <c r="Q135" s="120" t="s">
        <v>404</v>
      </c>
      <c r="R135" s="125">
        <f>IF(VLOOKUP(L134,데이터입력!$R$63:$U$68,4,FALSE)="",데이터입력!$Y$8,VLOOKUP(L134,데이터입력!$R$63:$U$68,4,FALSE))</f>
        <v>12</v>
      </c>
      <c r="S135" s="120"/>
      <c r="T135" s="120" t="s">
        <v>405</v>
      </c>
      <c r="U135" s="120"/>
      <c r="V135" s="121"/>
      <c r="W135" s="121"/>
      <c r="X135" s="121">
        <f>IF(P135="",N135*R135,N135*P135*R135)</f>
        <v>0</v>
      </c>
      <c r="Y135" s="121"/>
    </row>
    <row r="136" spans="1:25" hidden="1">
      <c r="A136" s="117"/>
      <c r="B136" s="117"/>
      <c r="C136" s="1656"/>
      <c r="D136" s="1656"/>
      <c r="E136" s="133"/>
      <c r="F136" s="134"/>
      <c r="G136" s="133"/>
      <c r="H136" s="135"/>
      <c r="I136" s="135"/>
      <c r="J136" s="135"/>
      <c r="K136" s="207"/>
      <c r="L136" s="129" t="s">
        <v>406</v>
      </c>
      <c r="M136" s="136"/>
      <c r="N136" s="137"/>
      <c r="O136" s="130"/>
      <c r="P136" s="138"/>
      <c r="Q136" s="130"/>
      <c r="R136" s="139"/>
      <c r="S136" s="130"/>
      <c r="T136" s="130" t="s">
        <v>405</v>
      </c>
      <c r="U136" s="130"/>
      <c r="V136" s="140"/>
      <c r="W136" s="140"/>
      <c r="X136" s="140">
        <f>IF(P136="",N136*R136,N136*P136*R136)</f>
        <v>0</v>
      </c>
      <c r="Y136" s="140"/>
    </row>
    <row r="137" spans="1:25">
      <c r="A137" s="117"/>
      <c r="B137" s="117"/>
      <c r="C137" s="1654" t="s">
        <v>29</v>
      </c>
      <c r="D137" s="1654" t="s">
        <v>29</v>
      </c>
      <c r="E137" s="107">
        <v>408010301</v>
      </c>
      <c r="F137" s="108" t="s">
        <v>83</v>
      </c>
      <c r="G137" s="107" t="s">
        <v>6</v>
      </c>
      <c r="H137" s="109">
        <f>IFERROR(IF(VLOOKUP(K137,데이터입력!$C$3:$L$40,5,FALSE)&lt;1000,ROUNDUP(VLOOKUP(K137,데이터입력!$C$3:$L$40,5,FALSE)*1/1000,0),ROUND(VLOOKUP(K137,데이터입력!$C$3:$L$40,5,FALSE)*1/1000,0)),0)</f>
        <v>12000</v>
      </c>
      <c r="I137" s="109">
        <f>IFERROR(IF(F137="06",IF(V137&lt;1000,ROUNDUP((V137)*1/1000,0),ROUND((V137)*1/1000,0)),IF(F137="07",IF(W137&lt;1000,ROUNDUP((W137)*1/1000,0),ROUND((W137)*1/1000,0)),IF(F137="05",IF(X137&lt;1000,ROUNDUP((X137)*1/1000,0),ROUND((X137)*1/1000,0))))),0)</f>
        <v>12000</v>
      </c>
      <c r="J137" s="110">
        <f>I137-H137</f>
        <v>0</v>
      </c>
      <c r="K137" s="110" t="str">
        <f>D137&amp;"("&amp;G137&amp;")"</f>
        <v>기타전입금(수익사업)</v>
      </c>
      <c r="L137" s="222" t="str">
        <f>D137</f>
        <v>기타전입금</v>
      </c>
      <c r="M137" s="112"/>
      <c r="N137" s="113"/>
      <c r="O137" s="114"/>
      <c r="P137" s="113"/>
      <c r="Q137" s="114"/>
      <c r="R137" s="113"/>
      <c r="S137" s="114"/>
      <c r="T137" s="114"/>
      <c r="U137" s="114"/>
      <c r="V137" s="115">
        <f>SUM(V138:V139)</f>
        <v>12000000</v>
      </c>
      <c r="W137" s="115">
        <f t="shared" ref="W137:X137" si="57">SUM(W138:W139)</f>
        <v>0</v>
      </c>
      <c r="X137" s="115">
        <f t="shared" si="57"/>
        <v>0</v>
      </c>
      <c r="Y137" s="115">
        <f>SUM(V137:X137)</f>
        <v>12000000</v>
      </c>
    </row>
    <row r="138" spans="1:25">
      <c r="A138" s="117"/>
      <c r="B138" s="117"/>
      <c r="C138" s="1655"/>
      <c r="D138" s="1655"/>
      <c r="E138" s="117"/>
      <c r="F138" s="131"/>
      <c r="G138" s="117"/>
      <c r="H138" s="132"/>
      <c r="I138" s="132"/>
      <c r="J138" s="132"/>
      <c r="K138" s="206"/>
      <c r="L138" s="126" t="str">
        <f>"    - "&amp;L137</f>
        <v xml:space="preserve">    - 기타전입금</v>
      </c>
      <c r="M138" s="210"/>
      <c r="N138" s="123">
        <f>IF(P138="",ROUNDUP(데이터입력!T49/R138,-3),ROUNDUP(데이터입력!T49/P138/R138,-3))</f>
        <v>1000000</v>
      </c>
      <c r="O138" s="120" t="str">
        <f>IF(P138="","","x ")</f>
        <v/>
      </c>
      <c r="P138" s="124"/>
      <c r="Q138" s="120" t="s">
        <v>404</v>
      </c>
      <c r="R138" s="125">
        <f>IF(VLOOKUP(L137,데이터입력!$R$35:$U$56,4,FALSE)="",데이터입력!$Y$8,VLOOKUP(L137,데이터입력!$R$35:$U$56,4,FALSE))</f>
        <v>12</v>
      </c>
      <c r="S138" s="120"/>
      <c r="T138" s="120" t="s">
        <v>405</v>
      </c>
      <c r="U138" s="120"/>
      <c r="V138" s="121">
        <f>IF(P138="",N138*R138,N138*P138*R138)</f>
        <v>12000000</v>
      </c>
      <c r="W138" s="121"/>
      <c r="X138" s="121"/>
      <c r="Y138" s="121"/>
    </row>
    <row r="139" spans="1:25" hidden="1">
      <c r="A139" s="117"/>
      <c r="B139" s="117"/>
      <c r="C139" s="1656"/>
      <c r="D139" s="1656"/>
      <c r="E139" s="133"/>
      <c r="F139" s="134"/>
      <c r="G139" s="133"/>
      <c r="H139" s="135"/>
      <c r="I139" s="135"/>
      <c r="J139" s="135"/>
      <c r="K139" s="207"/>
      <c r="L139" s="129" t="s">
        <v>406</v>
      </c>
      <c r="M139" s="136"/>
      <c r="N139" s="137"/>
      <c r="O139" s="130"/>
      <c r="P139" s="138"/>
      <c r="Q139" s="130"/>
      <c r="R139" s="139"/>
      <c r="S139" s="130"/>
      <c r="T139" s="130" t="s">
        <v>405</v>
      </c>
      <c r="U139" s="130"/>
      <c r="V139" s="140">
        <f>IF(P139=0,N139*R139,N139*P139*R139)</f>
        <v>0</v>
      </c>
      <c r="W139" s="140"/>
      <c r="X139" s="140"/>
      <c r="Y139" s="140"/>
    </row>
    <row r="140" spans="1:25">
      <c r="A140" s="117"/>
      <c r="B140" s="117"/>
      <c r="C140" s="1654" t="s">
        <v>30</v>
      </c>
      <c r="D140" s="1654" t="s">
        <v>30</v>
      </c>
      <c r="E140" s="107">
        <v>408010401</v>
      </c>
      <c r="F140" s="108" t="s">
        <v>85</v>
      </c>
      <c r="G140" s="107" t="s">
        <v>19</v>
      </c>
      <c r="H140" s="109">
        <f>IFERROR(IF(VLOOKUP(K140,데이터입력!$C$3:$L$40,5,FALSE)&lt;1000,ROUNDUP(VLOOKUP(K140,데이터입력!$C$3:$L$40,5,FALSE)*1/1000,0),ROUND(VLOOKUP(K140,데이터입력!$C$3:$L$40,5,FALSE)*1/1000,0)),0)</f>
        <v>0</v>
      </c>
      <c r="I140" s="109">
        <f>IFERROR(IF(F140="06",IF(V140&lt;1000,ROUNDUP((V140)*1/1000,0),ROUND((V140)*1/1000,0)),IF(F140="07",IF(W140&lt;1000,ROUNDUP((W140)*1/1000,0),ROUND((W140)*1/1000,0)),IF(F140="05",IF(X140&lt;1000,ROUNDUP((X140)*1/1000,0),ROUND((X140)*1/1000,0))))),0)</f>
        <v>0</v>
      </c>
      <c r="J140" s="110">
        <f>I140-H140</f>
        <v>0</v>
      </c>
      <c r="K140" s="110" t="str">
        <f>D140</f>
        <v>기타전입금(후원금)</v>
      </c>
      <c r="L140" s="111" t="str">
        <f>D140</f>
        <v>기타전입금(후원금)</v>
      </c>
      <c r="M140" s="112"/>
      <c r="N140" s="113"/>
      <c r="O140" s="114"/>
      <c r="P140" s="113"/>
      <c r="Q140" s="114"/>
      <c r="R140" s="113"/>
      <c r="S140" s="114"/>
      <c r="T140" s="114"/>
      <c r="U140" s="114"/>
      <c r="V140" s="115">
        <f>SUM(V141:V142)</f>
        <v>0</v>
      </c>
      <c r="W140" s="115">
        <f t="shared" ref="W140:X140" si="58">SUM(W141:W142)</f>
        <v>0</v>
      </c>
      <c r="X140" s="115">
        <f t="shared" si="58"/>
        <v>0</v>
      </c>
      <c r="Y140" s="115">
        <f>SUM(V140:X140)</f>
        <v>0</v>
      </c>
    </row>
    <row r="141" spans="1:25">
      <c r="A141" s="117"/>
      <c r="B141" s="117"/>
      <c r="C141" s="1655"/>
      <c r="D141" s="1655"/>
      <c r="E141" s="117"/>
      <c r="F141" s="131"/>
      <c r="G141" s="117"/>
      <c r="H141" s="132"/>
      <c r="I141" s="132"/>
      <c r="J141" s="132"/>
      <c r="K141" s="206"/>
      <c r="L141" s="126" t="str">
        <f>"    - "&amp;L140</f>
        <v xml:space="preserve">    - 기타전입금(후원금)</v>
      </c>
      <c r="M141" s="210"/>
      <c r="N141" s="123">
        <f>IF(P141="",ROUNDUP(데이터입력!T66/R141,-3),ROUNDUP(데이터입력!T66/P141/R141,-3))</f>
        <v>0</v>
      </c>
      <c r="O141" s="120" t="str">
        <f>IF(P141="","","x ")</f>
        <v/>
      </c>
      <c r="P141" s="124"/>
      <c r="Q141" s="120" t="s">
        <v>404</v>
      </c>
      <c r="R141" s="125">
        <f>IF(VLOOKUP(L140,데이터입력!$R$63:$U$68,4,FALSE)="",데이터입력!$Y$8,VLOOKUP(L140,데이터입력!$R$63:$U$68,4,FALSE))</f>
        <v>12</v>
      </c>
      <c r="S141" s="120"/>
      <c r="T141" s="120" t="s">
        <v>405</v>
      </c>
      <c r="U141" s="120"/>
      <c r="V141" s="121"/>
      <c r="W141" s="121"/>
      <c r="X141" s="121">
        <f>IF(P141="",N141*R141,N141*P141*R141)</f>
        <v>0</v>
      </c>
      <c r="Y141" s="121"/>
    </row>
    <row r="142" spans="1:25" hidden="1">
      <c r="A142" s="133"/>
      <c r="B142" s="133"/>
      <c r="C142" s="1656"/>
      <c r="D142" s="1656"/>
      <c r="E142" s="133"/>
      <c r="F142" s="134"/>
      <c r="G142" s="133"/>
      <c r="H142" s="135"/>
      <c r="I142" s="135"/>
      <c r="J142" s="135"/>
      <c r="K142" s="207"/>
      <c r="L142" s="129" t="s">
        <v>406</v>
      </c>
      <c r="M142" s="136"/>
      <c r="N142" s="137">
        <v>0</v>
      </c>
      <c r="O142" s="130" t="s">
        <v>404</v>
      </c>
      <c r="P142" s="138">
        <v>0</v>
      </c>
      <c r="Q142" s="130" t="s">
        <v>404</v>
      </c>
      <c r="R142" s="139">
        <f>데이터입력!$Y$8</f>
        <v>12</v>
      </c>
      <c r="S142" s="130"/>
      <c r="T142" s="130" t="s">
        <v>405</v>
      </c>
      <c r="U142" s="130"/>
      <c r="V142" s="140"/>
      <c r="W142" s="140"/>
      <c r="X142" s="140">
        <f>IF(P142="",N142*R142,N142*P142*R142)</f>
        <v>0</v>
      </c>
      <c r="Y142" s="140"/>
    </row>
    <row r="143" spans="1:25">
      <c r="A143" s="259" t="s">
        <v>324</v>
      </c>
      <c r="B143" s="260" t="s">
        <v>324</v>
      </c>
      <c r="C143" s="262"/>
      <c r="D143" s="262"/>
      <c r="E143" s="262"/>
      <c r="F143" s="262"/>
      <c r="G143" s="262"/>
      <c r="H143" s="250">
        <f>SUM(H144,H147,H150,H153,H156)</f>
        <v>121894</v>
      </c>
      <c r="I143" s="250">
        <f>SUM(I144,I147,I150,I153,I156)</f>
        <v>121893</v>
      </c>
      <c r="J143" s="250">
        <f>SUM(J144,J147,J150,J153,J156)</f>
        <v>-1</v>
      </c>
      <c r="K143" s="250"/>
      <c r="L143" s="263"/>
      <c r="M143" s="263"/>
      <c r="N143" s="263"/>
      <c r="O143" s="263"/>
      <c r="P143" s="263"/>
      <c r="Q143" s="263"/>
      <c r="R143" s="263"/>
      <c r="S143" s="263"/>
      <c r="T143" s="263"/>
      <c r="U143" s="263"/>
      <c r="V143" s="252">
        <f>SUM(V144,V147,V150,V153,V156)</f>
        <v>121892479</v>
      </c>
      <c r="W143" s="252">
        <f t="shared" ref="W143:Y143" si="59">SUM(W144,W147,W150,W153,W156)</f>
        <v>0</v>
      </c>
      <c r="X143" s="252">
        <f t="shared" si="59"/>
        <v>0</v>
      </c>
      <c r="Y143" s="252">
        <f t="shared" si="59"/>
        <v>121892479</v>
      </c>
    </row>
    <row r="144" spans="1:25">
      <c r="A144" s="107"/>
      <c r="B144" s="107"/>
      <c r="C144" s="107" t="s">
        <v>31</v>
      </c>
      <c r="D144" s="107" t="s">
        <v>31</v>
      </c>
      <c r="E144" s="107">
        <v>409010101</v>
      </c>
      <c r="F144" s="108" t="s">
        <v>83</v>
      </c>
      <c r="G144" s="107" t="s">
        <v>6</v>
      </c>
      <c r="H144" s="109">
        <f>IFERROR(IF(VLOOKUP(K144,데이터입력!$C$3:$L$40,5,FALSE)&lt;1000,ROUNDUP(VLOOKUP(K144,데이터입력!$C$3:$L$40,5,FALSE)*1/1000,0),ROUND(VLOOKUP(K144,데이터입력!$C$3:$L$40,5,FALSE)*1/1000,0)),0)</f>
        <v>75337</v>
      </c>
      <c r="I144" s="109">
        <f>IFERROR(IF(F144="06",IF(V144&lt;1000,ROUNDUP((V144)*1/1000,0),ROUND((V144)*1/1000,0)),IF(F144="07",IF(W144&lt;1000,ROUNDUP((W144)*1/1000,0),ROUND((W144)*1/1000,0)),IF(F144="05",IF(X144&lt;1000,ROUNDUP((X144)*1/1000,0),ROUND((X144)*1/1000,0))))),0)</f>
        <v>75337</v>
      </c>
      <c r="J144" s="110">
        <f>I144-H144</f>
        <v>0</v>
      </c>
      <c r="K144" s="110" t="str">
        <f>D144&amp;"("&amp;G144&amp;")"</f>
        <v>전년도이월금(수익사업)</v>
      </c>
      <c r="L144" s="111" t="str">
        <f>D144</f>
        <v>전년도이월금</v>
      </c>
      <c r="M144" s="112"/>
      <c r="N144" s="113"/>
      <c r="O144" s="114"/>
      <c r="P144" s="113"/>
      <c r="Q144" s="114"/>
      <c r="R144" s="113"/>
      <c r="S144" s="114"/>
      <c r="T144" s="114"/>
      <c r="U144" s="114"/>
      <c r="V144" s="115">
        <f>SUM(V145:V146)</f>
        <v>75336977</v>
      </c>
      <c r="W144" s="115">
        <f t="shared" ref="W144:X144" si="60">SUM(W145:W146)</f>
        <v>0</v>
      </c>
      <c r="X144" s="115">
        <f t="shared" si="60"/>
        <v>0</v>
      </c>
      <c r="Y144" s="115">
        <f>SUM(V144:X144)</f>
        <v>75336977</v>
      </c>
    </row>
    <row r="145" spans="1:25">
      <c r="A145" s="117"/>
      <c r="B145" s="117"/>
      <c r="C145" s="117"/>
      <c r="D145" s="117"/>
      <c r="E145" s="117"/>
      <c r="F145" s="131"/>
      <c r="G145" s="117"/>
      <c r="H145" s="132"/>
      <c r="I145" s="132"/>
      <c r="J145" s="132"/>
      <c r="K145" s="206"/>
      <c r="L145" s="126" t="str">
        <f>"    - "&amp;L144</f>
        <v xml:space="preserve">    - 전년도이월금</v>
      </c>
      <c r="M145" s="210"/>
      <c r="N145" s="123"/>
      <c r="O145" s="120"/>
      <c r="P145" s="124"/>
      <c r="Q145" s="120"/>
      <c r="R145" s="125"/>
      <c r="S145" s="120"/>
      <c r="T145" s="120" t="s">
        <v>405</v>
      </c>
      <c r="U145" s="120"/>
      <c r="V145" s="121">
        <f>데이터입력!T50</f>
        <v>75336977</v>
      </c>
      <c r="W145" s="121"/>
      <c r="X145" s="121"/>
      <c r="Y145" s="121"/>
    </row>
    <row r="146" spans="1:25" hidden="1">
      <c r="A146" s="117"/>
      <c r="B146" s="117"/>
      <c r="C146" s="133"/>
      <c r="D146" s="133"/>
      <c r="E146" s="133"/>
      <c r="F146" s="134"/>
      <c r="G146" s="133"/>
      <c r="H146" s="135"/>
      <c r="I146" s="135"/>
      <c r="J146" s="135"/>
      <c r="K146" s="207"/>
      <c r="L146" s="129" t="s">
        <v>406</v>
      </c>
      <c r="M146" s="136"/>
      <c r="N146" s="137"/>
      <c r="O146" s="130"/>
      <c r="P146" s="138"/>
      <c r="Q146" s="130"/>
      <c r="R146" s="139"/>
      <c r="S146" s="130"/>
      <c r="T146" s="130" t="s">
        <v>405</v>
      </c>
      <c r="U146" s="130"/>
      <c r="V146" s="140">
        <f>IF(P146=0,N146*R146,N146*P146*R146)</f>
        <v>0</v>
      </c>
      <c r="W146" s="140"/>
      <c r="X146" s="140"/>
      <c r="Y146" s="140"/>
    </row>
    <row r="147" spans="1:25" ht="24">
      <c r="A147" s="117"/>
      <c r="B147" s="117"/>
      <c r="C147" s="107" t="s">
        <v>31</v>
      </c>
      <c r="D147" s="107" t="s">
        <v>417</v>
      </c>
      <c r="E147" s="107">
        <v>409010101</v>
      </c>
      <c r="F147" s="108" t="s">
        <v>418</v>
      </c>
      <c r="G147" s="107" t="s">
        <v>381</v>
      </c>
      <c r="H147" s="109">
        <f>IFERROR(IF(VLOOKUP(K147,데이터입력!$C$3:$L$40,5,FALSE)&lt;1000,ROUNDUP(VLOOKUP(K147,데이터입력!$C$3:$L$40,5,FALSE)*1/1000,0),ROUND(VLOOKUP(K147,데이터입력!$C$3:$L$40,5,FALSE)*1/1000,0)),0)</f>
        <v>1</v>
      </c>
      <c r="I147" s="109">
        <f>IFERROR(IF(F147="06",IF(V147&lt;1000,ROUNDUP((V147)*1/1000,0),ROUND((V147)*1/1000,0)),IF(F147="07",IF(W147&lt;1000,ROUNDUP((W147)*1/1000,0),ROUND((W147)*1/1000,0)),IF(F147="05",IF(X147&lt;1000,ROUNDUP((X147)*1/1000,0),ROUND((X147)*1/1000,0))))),0)</f>
        <v>0</v>
      </c>
      <c r="J147" s="110">
        <f>I147-H147</f>
        <v>-1</v>
      </c>
      <c r="K147" s="203" t="str">
        <f>D147</f>
        <v>전년도이월금(보조금)</v>
      </c>
      <c r="L147" s="111" t="str">
        <f>D147</f>
        <v>전년도이월금(보조금)</v>
      </c>
      <c r="M147" s="112"/>
      <c r="N147" s="113"/>
      <c r="O147" s="114"/>
      <c r="P147" s="113"/>
      <c r="Q147" s="114"/>
      <c r="R147" s="113"/>
      <c r="S147" s="114"/>
      <c r="T147" s="114"/>
      <c r="U147" s="114"/>
      <c r="V147" s="115"/>
      <c r="W147" s="115">
        <f t="shared" ref="W147:X147" si="61">SUM(W148:W149)</f>
        <v>0</v>
      </c>
      <c r="X147" s="115">
        <f t="shared" si="61"/>
        <v>0</v>
      </c>
      <c r="Y147" s="115">
        <f>SUM(V147:X147)</f>
        <v>0</v>
      </c>
    </row>
    <row r="148" spans="1:25">
      <c r="A148" s="117"/>
      <c r="B148" s="117"/>
      <c r="C148" s="117"/>
      <c r="D148" s="117"/>
      <c r="E148" s="117"/>
      <c r="F148" s="131"/>
      <c r="G148" s="117"/>
      <c r="H148" s="132"/>
      <c r="I148" s="132"/>
      <c r="J148" s="132"/>
      <c r="K148" s="206"/>
      <c r="L148" s="126" t="str">
        <f>"    - "&amp;L147</f>
        <v xml:space="preserve">    - 전년도이월금(보조금)</v>
      </c>
      <c r="M148" s="210"/>
      <c r="N148" s="123"/>
      <c r="O148" s="120"/>
      <c r="P148" s="124"/>
      <c r="Q148" s="120"/>
      <c r="R148" s="125"/>
      <c r="S148" s="120"/>
      <c r="T148" s="120" t="s">
        <v>405</v>
      </c>
      <c r="U148" s="120"/>
      <c r="V148" s="121"/>
      <c r="W148" s="121">
        <f>데이터입력!$T$61</f>
        <v>0</v>
      </c>
      <c r="X148" s="121"/>
      <c r="Y148" s="121"/>
    </row>
    <row r="149" spans="1:25" hidden="1">
      <c r="A149" s="117"/>
      <c r="B149" s="117"/>
      <c r="C149" s="133"/>
      <c r="D149" s="133"/>
      <c r="E149" s="133"/>
      <c r="F149" s="134"/>
      <c r="G149" s="133"/>
      <c r="H149" s="135"/>
      <c r="I149" s="135"/>
      <c r="J149" s="135"/>
      <c r="K149" s="207"/>
      <c r="L149" s="129" t="s">
        <v>406</v>
      </c>
      <c r="M149" s="136"/>
      <c r="N149" s="137">
        <v>0</v>
      </c>
      <c r="O149" s="130" t="s">
        <v>404</v>
      </c>
      <c r="P149" s="138">
        <v>0</v>
      </c>
      <c r="Q149" s="130" t="s">
        <v>404</v>
      </c>
      <c r="R149" s="139">
        <f>데이터입력!$Y$8</f>
        <v>12</v>
      </c>
      <c r="S149" s="130"/>
      <c r="T149" s="130" t="s">
        <v>405</v>
      </c>
      <c r="U149" s="130"/>
      <c r="V149" s="140"/>
      <c r="W149" s="140">
        <f>IF(P149=0,N149*R149,N149*P149*R149)</f>
        <v>0</v>
      </c>
      <c r="X149" s="140"/>
      <c r="Y149" s="140"/>
    </row>
    <row r="150" spans="1:25">
      <c r="A150" s="117"/>
      <c r="B150" s="117"/>
      <c r="C150" s="1654" t="s">
        <v>32</v>
      </c>
      <c r="D150" s="1654" t="s">
        <v>32</v>
      </c>
      <c r="E150" s="107">
        <v>409010201</v>
      </c>
      <c r="F150" s="108" t="s">
        <v>85</v>
      </c>
      <c r="G150" s="107" t="s">
        <v>19</v>
      </c>
      <c r="H150" s="109">
        <f>IFERROR(IF(VLOOKUP(K150,데이터입력!$C$3:$L$40,5,FALSE)&lt;1000,ROUNDUP(VLOOKUP(K150,데이터입력!$C$3:$L$40,5,FALSE)*1/1000,0),ROUND(VLOOKUP(K150,데이터입력!$C$3:$L$40,5,FALSE)*1/1000,0)),0)</f>
        <v>0</v>
      </c>
      <c r="I150" s="109">
        <f>IFERROR(IF(F150="06",IF(V150&lt;1000,ROUNDUP((V150)*1/1000,0),ROUND((V150)*1/1000,0)),IF(F150="07",IF(W150&lt;1000,ROUNDUP((W150)*1/1000,0),ROUND((W150)*1/1000,0)),IF(F150="05",IF(X150&lt;1000,ROUNDUP((X150)*1/1000,0),ROUND((X150)*1/1000,0))))),0)</f>
        <v>0</v>
      </c>
      <c r="J150" s="110">
        <f>I150-H150</f>
        <v>0</v>
      </c>
      <c r="K150" s="203" t="str">
        <f>D150</f>
        <v>전년도이월금(후원금)</v>
      </c>
      <c r="L150" s="111" t="str">
        <f>D150</f>
        <v>전년도이월금(후원금)</v>
      </c>
      <c r="M150" s="112"/>
      <c r="N150" s="113"/>
      <c r="O150" s="114"/>
      <c r="P150" s="113"/>
      <c r="Q150" s="114"/>
      <c r="R150" s="113"/>
      <c r="S150" s="114"/>
      <c r="T150" s="114"/>
      <c r="U150" s="114"/>
      <c r="V150" s="115"/>
      <c r="W150" s="115"/>
      <c r="X150" s="115">
        <f t="shared" ref="X150" si="62">SUM(X151:X152)</f>
        <v>0</v>
      </c>
      <c r="Y150" s="115">
        <f>SUM(V150:X150)</f>
        <v>0</v>
      </c>
    </row>
    <row r="151" spans="1:25">
      <c r="A151" s="117"/>
      <c r="B151" s="117"/>
      <c r="C151" s="1655"/>
      <c r="D151" s="1655"/>
      <c r="E151" s="117"/>
      <c r="F151" s="131"/>
      <c r="G151" s="117"/>
      <c r="H151" s="132"/>
      <c r="I151" s="132"/>
      <c r="J151" s="132"/>
      <c r="K151" s="206"/>
      <c r="L151" s="126" t="str">
        <f>"    - "&amp;L150</f>
        <v xml:space="preserve">    - 전년도이월금(후원금)</v>
      </c>
      <c r="M151" s="210"/>
      <c r="N151" s="123"/>
      <c r="O151" s="120"/>
      <c r="P151" s="124"/>
      <c r="Q151" s="120"/>
      <c r="R151" s="125"/>
      <c r="S151" s="120"/>
      <c r="T151" s="120" t="s">
        <v>405</v>
      </c>
      <c r="U151" s="120"/>
      <c r="V151" s="121"/>
      <c r="W151" s="121"/>
      <c r="X151" s="121">
        <f>데이터입력!$T$67</f>
        <v>0</v>
      </c>
      <c r="Y151" s="121"/>
    </row>
    <row r="152" spans="1:25" hidden="1">
      <c r="A152" s="117"/>
      <c r="B152" s="117"/>
      <c r="C152" s="1656"/>
      <c r="D152" s="1656"/>
      <c r="E152" s="133"/>
      <c r="F152" s="134"/>
      <c r="G152" s="133"/>
      <c r="H152" s="135"/>
      <c r="I152" s="135"/>
      <c r="J152" s="135"/>
      <c r="K152" s="207"/>
      <c r="L152" s="129" t="s">
        <v>406</v>
      </c>
      <c r="M152" s="136"/>
      <c r="N152" s="137"/>
      <c r="O152" s="130"/>
      <c r="P152" s="138"/>
      <c r="Q152" s="130"/>
      <c r="R152" s="139"/>
      <c r="S152" s="130"/>
      <c r="T152" s="130" t="s">
        <v>405</v>
      </c>
      <c r="U152" s="130"/>
      <c r="V152" s="140"/>
      <c r="W152" s="140"/>
      <c r="X152" s="140">
        <f>N152*P152*R152</f>
        <v>0</v>
      </c>
      <c r="Y152" s="140"/>
    </row>
    <row r="153" spans="1:25">
      <c r="A153" s="117"/>
      <c r="B153" s="117"/>
      <c r="C153" s="1654" t="s">
        <v>33</v>
      </c>
      <c r="D153" s="1654" t="s">
        <v>33</v>
      </c>
      <c r="E153" s="107">
        <v>409010301</v>
      </c>
      <c r="F153" s="108" t="s">
        <v>83</v>
      </c>
      <c r="G153" s="107" t="s">
        <v>6</v>
      </c>
      <c r="H153" s="109">
        <f>IFERROR(IF(VLOOKUP(K153,데이터입력!$C$3:$L$40,5,FALSE)&lt;1000,ROUNDUP(VLOOKUP(K153,데이터입력!$C$3:$L$40,5,FALSE)*1/1000,0),ROUND(VLOOKUP(K153,데이터입력!$C$3:$L$40,5,FALSE)*1/1000,0)),0)</f>
        <v>46556</v>
      </c>
      <c r="I153" s="109">
        <f>IFERROR(IF(F153="06",IF(V153&lt;1000,ROUNDUP((V153)*1/1000,0),ROUND((V153)*1/1000,0)),IF(F153="07",IF(W153&lt;1000,ROUNDUP((W153)*1/1000,0),ROUND((W153)*1/1000,0)),IF(F153="05",IF(X153&lt;1000,ROUNDUP((X153)*1/1000,0),ROUND((X153)*1/1000,0))))),0)</f>
        <v>46556</v>
      </c>
      <c r="J153" s="110">
        <f>I153-H153</f>
        <v>0</v>
      </c>
      <c r="K153" s="110" t="str">
        <f>D153&amp;"("&amp;G153&amp;")"</f>
        <v>전년도이월금(식재료비)(수익사업)</v>
      </c>
      <c r="L153" s="111" t="str">
        <f>D153</f>
        <v>전년도이월금(식재료비)</v>
      </c>
      <c r="M153" s="112"/>
      <c r="N153" s="113"/>
      <c r="O153" s="114"/>
      <c r="P153" s="113"/>
      <c r="Q153" s="114"/>
      <c r="R153" s="113"/>
      <c r="S153" s="114"/>
      <c r="T153" s="114"/>
      <c r="U153" s="114"/>
      <c r="V153" s="115">
        <f>SUM(V154:V155)</f>
        <v>46555502</v>
      </c>
      <c r="W153" s="115">
        <f t="shared" ref="W153:X153" si="63">SUM(W154:W155)</f>
        <v>0</v>
      </c>
      <c r="X153" s="115">
        <f t="shared" si="63"/>
        <v>0</v>
      </c>
      <c r="Y153" s="115">
        <f>SUM(V153:X153)</f>
        <v>46555502</v>
      </c>
    </row>
    <row r="154" spans="1:25">
      <c r="A154" s="117"/>
      <c r="B154" s="117"/>
      <c r="C154" s="1655"/>
      <c r="D154" s="1655"/>
      <c r="E154" s="117"/>
      <c r="F154" s="131"/>
      <c r="G154" s="117"/>
      <c r="H154" s="132"/>
      <c r="I154" s="132"/>
      <c r="J154" s="132"/>
      <c r="K154" s="206"/>
      <c r="L154" s="126" t="str">
        <f>"    - "&amp;L153</f>
        <v xml:space="preserve">    - 전년도이월금(식재료비)</v>
      </c>
      <c r="M154" s="210"/>
      <c r="N154" s="123"/>
      <c r="O154" s="120"/>
      <c r="P154" s="124"/>
      <c r="Q154" s="120"/>
      <c r="R154" s="125"/>
      <c r="S154" s="120"/>
      <c r="T154" s="120" t="s">
        <v>405</v>
      </c>
      <c r="U154" s="120"/>
      <c r="V154" s="121">
        <f>데이터입력!T51</f>
        <v>46555502</v>
      </c>
      <c r="W154" s="121"/>
      <c r="X154" s="121"/>
      <c r="Y154" s="121"/>
    </row>
    <row r="155" spans="1:25" hidden="1">
      <c r="A155" s="117"/>
      <c r="B155" s="117"/>
      <c r="C155" s="1656"/>
      <c r="D155" s="1656"/>
      <c r="E155" s="133"/>
      <c r="F155" s="134"/>
      <c r="G155" s="133"/>
      <c r="H155" s="135"/>
      <c r="I155" s="135"/>
      <c r="J155" s="135"/>
      <c r="K155" s="207"/>
      <c r="L155" s="129" t="s">
        <v>406</v>
      </c>
      <c r="M155" s="136"/>
      <c r="N155" s="137"/>
      <c r="O155" s="130"/>
      <c r="P155" s="138"/>
      <c r="Q155" s="130"/>
      <c r="R155" s="139"/>
      <c r="S155" s="130"/>
      <c r="T155" s="130" t="s">
        <v>405</v>
      </c>
      <c r="U155" s="130"/>
      <c r="V155" s="140">
        <f>IF(O155=0,M155*Q155,M155*O155*Q155)</f>
        <v>0</v>
      </c>
      <c r="W155" s="140"/>
      <c r="X155" s="140"/>
      <c r="Y155" s="140"/>
    </row>
    <row r="156" spans="1:25">
      <c r="A156" s="117"/>
      <c r="B156" s="117"/>
      <c r="C156" s="107" t="s">
        <v>34</v>
      </c>
      <c r="D156" s="107" t="s">
        <v>34</v>
      </c>
      <c r="E156" s="107">
        <v>409010401</v>
      </c>
      <c r="F156" s="108" t="s">
        <v>83</v>
      </c>
      <c r="G156" s="107" t="s">
        <v>6</v>
      </c>
      <c r="H156" s="109">
        <f>IFERROR(IF(VLOOKUP(K156,데이터입력!$C$3:$L$40,5,FALSE)&lt;1000,ROUNDUP(VLOOKUP(K156,데이터입력!$C$3:$L$40,5,FALSE)*1/1000,0),ROUND(VLOOKUP(K156,데이터입력!$C$3:$L$40,5,FALSE)*1/1000,0)),0)</f>
        <v>0</v>
      </c>
      <c r="I156" s="109">
        <f>IFERROR(IF(F156="06",IF(V156&lt;1000,ROUNDUP((V156)*1/1000,0),ROUND((V156)*1/1000,0)),IF(F156="07",IF(W156&lt;1000,ROUNDUP((W156)*1/1000,0),ROUND((W156)*1/1000,0)),IF(F156="05",IF(X156&lt;1000,ROUNDUP((X156)*1/1000,0),ROUND((X156)*1/1000,0))))),0)</f>
        <v>0</v>
      </c>
      <c r="J156" s="110">
        <f>I156-H156</f>
        <v>0</v>
      </c>
      <c r="K156" s="110" t="str">
        <f>D156&amp;"("&amp;G156&amp;")"</f>
        <v>이월사업비(수익사업)</v>
      </c>
      <c r="L156" s="111" t="str">
        <f>D156</f>
        <v>이월사업비</v>
      </c>
      <c r="M156" s="112"/>
      <c r="N156" s="113"/>
      <c r="O156" s="114"/>
      <c r="P156" s="113"/>
      <c r="Q156" s="114"/>
      <c r="R156" s="113"/>
      <c r="S156" s="114"/>
      <c r="T156" s="114"/>
      <c r="U156" s="114"/>
      <c r="V156" s="115">
        <f>SUM(V157:V158)</f>
        <v>0</v>
      </c>
      <c r="W156" s="115">
        <f t="shared" ref="W156:X156" si="64">SUM(W157:W158)</f>
        <v>0</v>
      </c>
      <c r="X156" s="115">
        <f t="shared" si="64"/>
        <v>0</v>
      </c>
      <c r="Y156" s="115">
        <f>SUM(V156:X156)</f>
        <v>0</v>
      </c>
    </row>
    <row r="157" spans="1:25">
      <c r="A157" s="117"/>
      <c r="B157" s="117"/>
      <c r="C157" s="117"/>
      <c r="D157" s="117"/>
      <c r="E157" s="117"/>
      <c r="F157" s="131"/>
      <c r="G157" s="117"/>
      <c r="H157" s="132"/>
      <c r="I157" s="132"/>
      <c r="J157" s="132"/>
      <c r="K157" s="206"/>
      <c r="L157" s="126" t="str">
        <f>"    - "&amp;L156</f>
        <v xml:space="preserve">    - 이월사업비</v>
      </c>
      <c r="M157" s="210"/>
      <c r="N157" s="123"/>
      <c r="O157" s="120"/>
      <c r="P157" s="124"/>
      <c r="Q157" s="120"/>
      <c r="R157" s="125"/>
      <c r="S157" s="120"/>
      <c r="T157" s="120" t="s">
        <v>405</v>
      </c>
      <c r="U157" s="120"/>
      <c r="V157" s="121">
        <f>데이터입력!T52</f>
        <v>0</v>
      </c>
      <c r="W157" s="121"/>
      <c r="X157" s="121"/>
      <c r="Y157" s="121"/>
    </row>
    <row r="158" spans="1:25" hidden="1">
      <c r="A158" s="133"/>
      <c r="B158" s="133"/>
      <c r="C158" s="133"/>
      <c r="D158" s="133"/>
      <c r="E158" s="133"/>
      <c r="F158" s="134"/>
      <c r="G158" s="133"/>
      <c r="H158" s="135"/>
      <c r="I158" s="135"/>
      <c r="J158" s="135"/>
      <c r="K158" s="207"/>
      <c r="L158" s="129" t="s">
        <v>406</v>
      </c>
      <c r="M158" s="136"/>
      <c r="N158" s="137">
        <v>0</v>
      </c>
      <c r="O158" s="130" t="s">
        <v>404</v>
      </c>
      <c r="P158" s="138">
        <v>0</v>
      </c>
      <c r="Q158" s="130" t="s">
        <v>404</v>
      </c>
      <c r="R158" s="139">
        <f>데이터입력!$Y$8</f>
        <v>12</v>
      </c>
      <c r="S158" s="130"/>
      <c r="T158" s="130" t="s">
        <v>405</v>
      </c>
      <c r="U158" s="130"/>
      <c r="V158" s="140">
        <f>IF(P158=0,N158*R158,N158*P158*R158)</f>
        <v>0</v>
      </c>
      <c r="W158" s="140"/>
      <c r="X158" s="140"/>
      <c r="Y158" s="140"/>
    </row>
    <row r="159" spans="1:25">
      <c r="A159" s="259" t="s">
        <v>329</v>
      </c>
      <c r="B159" s="260" t="s">
        <v>329</v>
      </c>
      <c r="C159" s="262"/>
      <c r="D159" s="262"/>
      <c r="E159" s="262"/>
      <c r="F159" s="262"/>
      <c r="G159" s="262"/>
      <c r="H159" s="250">
        <f>SUM(H160,H163,H166,H169,H172,H175)</f>
        <v>12070</v>
      </c>
      <c r="I159" s="250">
        <f>SUM(I160,I163,I166,I169,I172,I175)</f>
        <v>12070</v>
      </c>
      <c r="J159" s="250">
        <f>SUM(J160,J163,J166,J169,J172,J175)</f>
        <v>0</v>
      </c>
      <c r="K159" s="250"/>
      <c r="L159" s="263"/>
      <c r="M159" s="263"/>
      <c r="N159" s="263"/>
      <c r="O159" s="263"/>
      <c r="P159" s="263"/>
      <c r="Q159" s="263"/>
      <c r="R159" s="263"/>
      <c r="S159" s="263"/>
      <c r="T159" s="263"/>
      <c r="U159" s="263"/>
      <c r="V159" s="252">
        <f>SUM(V160,V163,V166,V169,V172,V175)</f>
        <v>12060000</v>
      </c>
      <c r="W159" s="252">
        <f t="shared" ref="W159:Y159" si="65">SUM(W160,W163,W166,W169,W172,W175)</f>
        <v>10000</v>
      </c>
      <c r="X159" s="252">
        <f t="shared" si="65"/>
        <v>0</v>
      </c>
      <c r="Y159" s="252">
        <f t="shared" si="65"/>
        <v>12070000</v>
      </c>
    </row>
    <row r="160" spans="1:25">
      <c r="A160" s="107"/>
      <c r="B160" s="107"/>
      <c r="C160" s="107" t="s">
        <v>35</v>
      </c>
      <c r="D160" s="107" t="s">
        <v>35</v>
      </c>
      <c r="E160" s="107">
        <v>410010101</v>
      </c>
      <c r="F160" s="108" t="s">
        <v>83</v>
      </c>
      <c r="G160" s="107" t="s">
        <v>6</v>
      </c>
      <c r="H160" s="109">
        <f>IFERROR(IF(VLOOKUP(K160,데이터입력!$C$3:$L$40,5,FALSE)&lt;1000,ROUNDUP(VLOOKUP(K160,데이터입력!$C$3:$L$40,5,FALSE)*1/1000,0),ROUND(VLOOKUP(K160,데이터입력!$C$3:$L$40,5,FALSE)*1/1000,0)),0)</f>
        <v>0</v>
      </c>
      <c r="I160" s="109">
        <f>IFERROR(IF(F160="06",IF(V160&lt;1000,ROUNDUP((V160)*1/1000,0),ROUND((V160)*1/1000,0)),IF(F160="07",IF(W160&lt;1000,ROUNDUP((W160)*1/1000,0),ROUND((W160)*1/1000,0)),IF(F160="05",IF(X160&lt;1000,ROUNDUP((X160)*1/1000,0),ROUND((X160)*1/1000,0))))),0)</f>
        <v>0</v>
      </c>
      <c r="J160" s="110">
        <f>I160-H160</f>
        <v>0</v>
      </c>
      <c r="K160" s="110" t="str">
        <f>D160&amp;"("&amp;G160&amp;")"</f>
        <v>불용품매각대(수익사업)</v>
      </c>
      <c r="L160" s="111" t="str">
        <f>D160</f>
        <v>불용품매각대</v>
      </c>
      <c r="M160" s="112"/>
      <c r="N160" s="113"/>
      <c r="O160" s="114"/>
      <c r="P160" s="113"/>
      <c r="Q160" s="114"/>
      <c r="R160" s="113"/>
      <c r="S160" s="114"/>
      <c r="T160" s="114"/>
      <c r="U160" s="114"/>
      <c r="V160" s="115">
        <f>SUM(V161:V162)</f>
        <v>0</v>
      </c>
      <c r="W160" s="115">
        <f t="shared" ref="W160:X160" si="66">SUM(W161:W162)</f>
        <v>0</v>
      </c>
      <c r="X160" s="115">
        <f t="shared" si="66"/>
        <v>0</v>
      </c>
      <c r="Y160" s="115">
        <f>SUM(V160:X160)</f>
        <v>0</v>
      </c>
    </row>
    <row r="161" spans="1:26">
      <c r="A161" s="117"/>
      <c r="B161" s="117"/>
      <c r="C161" s="117"/>
      <c r="D161" s="117"/>
      <c r="E161" s="117"/>
      <c r="F161" s="131"/>
      <c r="G161" s="117"/>
      <c r="H161" s="132"/>
      <c r="I161" s="132"/>
      <c r="J161" s="132"/>
      <c r="K161" s="206"/>
      <c r="L161" s="126" t="str">
        <f>"    - "&amp;L160</f>
        <v xml:space="preserve">    - 불용품매각대</v>
      </c>
      <c r="M161" s="210"/>
      <c r="N161" s="123"/>
      <c r="O161" s="120"/>
      <c r="P161" s="124"/>
      <c r="Q161" s="120"/>
      <c r="R161" s="125"/>
      <c r="S161" s="120"/>
      <c r="T161" s="120" t="s">
        <v>405</v>
      </c>
      <c r="U161" s="120"/>
      <c r="V161" s="121">
        <f>데이터입력!T53</f>
        <v>0</v>
      </c>
      <c r="W161" s="121"/>
      <c r="X161" s="121"/>
      <c r="Y161" s="121"/>
    </row>
    <row r="162" spans="1:26" hidden="1">
      <c r="A162" s="117"/>
      <c r="B162" s="117"/>
      <c r="C162" s="133"/>
      <c r="D162" s="133"/>
      <c r="E162" s="133"/>
      <c r="F162" s="134"/>
      <c r="G162" s="133"/>
      <c r="H162" s="135"/>
      <c r="I162" s="135"/>
      <c r="J162" s="135"/>
      <c r="K162" s="207"/>
      <c r="L162" s="129" t="s">
        <v>406</v>
      </c>
      <c r="M162" s="136"/>
      <c r="N162" s="137">
        <v>0</v>
      </c>
      <c r="O162" s="130" t="s">
        <v>404</v>
      </c>
      <c r="P162" s="138">
        <v>0</v>
      </c>
      <c r="Q162" s="130" t="s">
        <v>404</v>
      </c>
      <c r="R162" s="139">
        <f>데이터입력!$Y$8</f>
        <v>12</v>
      </c>
      <c r="S162" s="130"/>
      <c r="T162" s="130" t="s">
        <v>405</v>
      </c>
      <c r="U162" s="130"/>
      <c r="V162" s="140">
        <f>IF(P162=0,N162*R162,N162*P162*R162)</f>
        <v>0</v>
      </c>
      <c r="W162" s="140"/>
      <c r="X162" s="140"/>
      <c r="Y162" s="140"/>
    </row>
    <row r="163" spans="1:26">
      <c r="A163" s="117"/>
      <c r="B163" s="117"/>
      <c r="C163" s="107" t="s">
        <v>36</v>
      </c>
      <c r="D163" s="107" t="s">
        <v>36</v>
      </c>
      <c r="E163" s="107">
        <v>410010201</v>
      </c>
      <c r="F163" s="108" t="s">
        <v>83</v>
      </c>
      <c r="G163" s="107" t="s">
        <v>6</v>
      </c>
      <c r="H163" s="109">
        <f>IFERROR(IF(VLOOKUP(K163,데이터입력!$C$3:$L$40,5,FALSE)&lt;1000,ROUNDUP(VLOOKUP(K163,데이터입력!$C$3:$L$40,5,FALSE)*1/1000,0),ROUND(VLOOKUP(K163,데이터입력!$C$3:$L$40,5,FALSE)*1/1000,0)),0)</f>
        <v>60</v>
      </c>
      <c r="I163" s="109">
        <f>IFERROR(IF(F163="06",IF(V163&lt;1000,ROUNDUP((V163)*1/1000,0),ROUND((V163)*1/1000,0)),IF(F163="07",IF(W163&lt;1000,ROUNDUP((W163)*1/1000,0),ROUND((W163)*1/1000,0)),IF(F163="05",IF(X163&lt;1000,ROUNDUP((X163)*1/1000,0),ROUND((X163)*1/1000,0))))),0)</f>
        <v>60</v>
      </c>
      <c r="J163" s="110">
        <f>I163-H163</f>
        <v>0</v>
      </c>
      <c r="K163" s="110" t="str">
        <f>D163&amp;"("&amp;G163&amp;")"</f>
        <v>기타예금이자수입(수익사업)</v>
      </c>
      <c r="L163" s="222" t="str">
        <f>D163</f>
        <v>기타예금이자수입</v>
      </c>
      <c r="M163" s="112"/>
      <c r="N163" s="113"/>
      <c r="O163" s="114"/>
      <c r="P163" s="113"/>
      <c r="Q163" s="114"/>
      <c r="R163" s="113"/>
      <c r="S163" s="114"/>
      <c r="T163" s="114"/>
      <c r="U163" s="114"/>
      <c r="V163" s="115">
        <f>SUM(V164:V165)</f>
        <v>60000</v>
      </c>
      <c r="W163" s="115">
        <f t="shared" ref="W163:X163" si="67">SUM(W164:W165)</f>
        <v>0</v>
      </c>
      <c r="X163" s="115">
        <f t="shared" si="67"/>
        <v>0</v>
      </c>
      <c r="Y163" s="115">
        <f>SUM(V163:X163)</f>
        <v>60000</v>
      </c>
    </row>
    <row r="164" spans="1:26">
      <c r="A164" s="117"/>
      <c r="B164" s="117"/>
      <c r="C164" s="117"/>
      <c r="D164" s="117"/>
      <c r="E164" s="117"/>
      <c r="F164" s="131"/>
      <c r="G164" s="117"/>
      <c r="H164" s="132"/>
      <c r="I164" s="132"/>
      <c r="J164" s="132"/>
      <c r="K164" s="206"/>
      <c r="L164" s="126" t="s">
        <v>419</v>
      </c>
      <c r="M164" s="210"/>
      <c r="N164" s="123">
        <f>IF(P164="",ROUNDUP(데이터입력!T54/R164,-3),ROUNDUP(데이터입력!T54/P164/R164,-3))</f>
        <v>30000</v>
      </c>
      <c r="O164" s="120" t="str">
        <f>IF(P164="","","x ")</f>
        <v/>
      </c>
      <c r="P164" s="124"/>
      <c r="Q164" s="120" t="s">
        <v>404</v>
      </c>
      <c r="R164" s="125">
        <f>데이터입력!$U$54</f>
        <v>2</v>
      </c>
      <c r="S164" s="120"/>
      <c r="T164" s="120" t="s">
        <v>405</v>
      </c>
      <c r="U164" s="120"/>
      <c r="V164" s="121">
        <f>IF(P164=0,N164*R164,N164*P164*R164)</f>
        <v>60000</v>
      </c>
      <c r="W164" s="121"/>
      <c r="X164" s="121"/>
      <c r="Y164" s="121"/>
    </row>
    <row r="165" spans="1:26" hidden="1">
      <c r="A165" s="117"/>
      <c r="B165" s="117"/>
      <c r="C165" s="133"/>
      <c r="D165" s="133"/>
      <c r="E165" s="133"/>
      <c r="F165" s="134"/>
      <c r="G165" s="133"/>
      <c r="H165" s="135"/>
      <c r="I165" s="135"/>
      <c r="J165" s="135"/>
      <c r="K165" s="207"/>
      <c r="L165" s="129" t="s">
        <v>406</v>
      </c>
      <c r="M165" s="136"/>
      <c r="N165" s="137">
        <v>0</v>
      </c>
      <c r="O165" s="130" t="s">
        <v>404</v>
      </c>
      <c r="P165" s="138">
        <v>0</v>
      </c>
      <c r="Q165" s="130" t="s">
        <v>404</v>
      </c>
      <c r="R165" s="139">
        <f>데이터입력!$Y$8</f>
        <v>12</v>
      </c>
      <c r="S165" s="130"/>
      <c r="T165" s="130" t="s">
        <v>405</v>
      </c>
      <c r="U165" s="130"/>
      <c r="V165" s="140">
        <f>IF(P165=0,N165*R165,N165*P165*R165)</f>
        <v>0</v>
      </c>
      <c r="W165" s="140"/>
      <c r="X165" s="140"/>
      <c r="Y165" s="140"/>
    </row>
    <row r="166" spans="1:26">
      <c r="A166" s="117"/>
      <c r="B166" s="117"/>
      <c r="C166" s="1654" t="s">
        <v>36</v>
      </c>
      <c r="D166" s="1654" t="s">
        <v>487</v>
      </c>
      <c r="E166" s="107">
        <v>410010201</v>
      </c>
      <c r="F166" s="108" t="s">
        <v>418</v>
      </c>
      <c r="G166" s="107" t="s">
        <v>381</v>
      </c>
      <c r="H166" s="109">
        <f>IFERROR(IF(VLOOKUP(K166,데이터입력!$C$3:$L$40,5,FALSE)&lt;1000,ROUNDUP(VLOOKUP(K166,데이터입력!$C$3:$L$40,5,FALSE)*1/1000,0),ROUND(VLOOKUP(K166,데이터입력!$C$3:$L$40,5,FALSE)*1/1000,0)),0)</f>
        <v>10</v>
      </c>
      <c r="I166" s="109">
        <f>IFERROR(IF(F166="06",IF(V166&lt;1000,ROUNDUP((V166)*1/1000,0),ROUND((V166)*1/1000,0)),IF(F166="07",IF(W166&lt;1000,ROUNDUP((W166)*1/1000,0),ROUND((W166)*1/1000,0)),IF(F166="05",IF(X166&lt;1000,ROUNDUP((X166)*1/1000,0),ROUND((X166)*1/1000,0))))),0)</f>
        <v>10</v>
      </c>
      <c r="J166" s="110">
        <f>I166-H166</f>
        <v>0</v>
      </c>
      <c r="K166" s="110" t="str">
        <f>D166&amp;"("&amp;G166&amp;")"</f>
        <v>기타예금이자수입(보조금)</v>
      </c>
      <c r="L166" s="222" t="str">
        <f>D166</f>
        <v>기타예금이자수입</v>
      </c>
      <c r="M166" s="112"/>
      <c r="N166" s="113"/>
      <c r="O166" s="114"/>
      <c r="P166" s="113"/>
      <c r="Q166" s="114"/>
      <c r="R166" s="113"/>
      <c r="S166" s="114"/>
      <c r="T166" s="114"/>
      <c r="U166" s="114"/>
      <c r="V166" s="115"/>
      <c r="W166" s="115">
        <f t="shared" ref="W166:X166" si="68">SUM(W167:W168)</f>
        <v>10000</v>
      </c>
      <c r="X166" s="115">
        <f t="shared" si="68"/>
        <v>0</v>
      </c>
      <c r="Y166" s="115">
        <f>SUM(V166:X166)</f>
        <v>10000</v>
      </c>
    </row>
    <row r="167" spans="1:26">
      <c r="A167" s="117"/>
      <c r="B167" s="117"/>
      <c r="C167" s="1655"/>
      <c r="D167" s="1655"/>
      <c r="E167" s="117"/>
      <c r="F167" s="131"/>
      <c r="G167" s="117"/>
      <c r="H167" s="132"/>
      <c r="I167" s="132"/>
      <c r="J167" s="132"/>
      <c r="K167" s="206"/>
      <c r="L167" s="126" t="s">
        <v>420</v>
      </c>
      <c r="M167" s="210"/>
      <c r="N167" s="123">
        <f>IF(P167="",ROUNDUP(데이터입력!T62/R167,-3),ROUNDUP(데이터입력!T62/P167/R167,-3))</f>
        <v>5000</v>
      </c>
      <c r="O167" s="120" t="str">
        <f>IF(P167="","","x ")</f>
        <v/>
      </c>
      <c r="P167" s="124"/>
      <c r="Q167" s="120" t="s">
        <v>404</v>
      </c>
      <c r="R167" s="125">
        <f>데이터입력!$U$62</f>
        <v>2</v>
      </c>
      <c r="S167" s="120"/>
      <c r="T167" s="120" t="s">
        <v>405</v>
      </c>
      <c r="U167" s="120"/>
      <c r="V167" s="121"/>
      <c r="W167" s="121">
        <f>IF(P167=0,N167*R167,N167*P167*R167)</f>
        <v>10000</v>
      </c>
      <c r="X167" s="121"/>
      <c r="Y167" s="121"/>
    </row>
    <row r="168" spans="1:26" hidden="1">
      <c r="A168" s="117"/>
      <c r="B168" s="117"/>
      <c r="C168" s="1656"/>
      <c r="D168" s="1656"/>
      <c r="E168" s="133"/>
      <c r="F168" s="134"/>
      <c r="G168" s="133"/>
      <c r="H168" s="135"/>
      <c r="I168" s="135"/>
      <c r="J168" s="135"/>
      <c r="K168" s="207"/>
      <c r="L168" s="129" t="s">
        <v>406</v>
      </c>
      <c r="M168" s="136"/>
      <c r="N168" s="137">
        <v>0</v>
      </c>
      <c r="O168" s="130" t="s">
        <v>404</v>
      </c>
      <c r="P168" s="138">
        <v>0</v>
      </c>
      <c r="Q168" s="130" t="s">
        <v>404</v>
      </c>
      <c r="R168" s="139">
        <f>데이터입력!$Y$8</f>
        <v>12</v>
      </c>
      <c r="S168" s="130"/>
      <c r="T168" s="130" t="s">
        <v>405</v>
      </c>
      <c r="U168" s="130"/>
      <c r="V168" s="140"/>
      <c r="W168" s="140">
        <f>IF(P168=0,N168*R168,N168*P168*R168)</f>
        <v>0</v>
      </c>
      <c r="X168" s="140"/>
      <c r="Y168" s="140"/>
    </row>
    <row r="169" spans="1:26">
      <c r="A169" s="117"/>
      <c r="B169" s="117"/>
      <c r="C169" s="1654" t="s">
        <v>36</v>
      </c>
      <c r="D169" s="1654" t="s">
        <v>487</v>
      </c>
      <c r="E169" s="107">
        <v>410010201</v>
      </c>
      <c r="F169" s="108" t="s">
        <v>421</v>
      </c>
      <c r="G169" s="107" t="s">
        <v>382</v>
      </c>
      <c r="H169" s="109">
        <f>IFERROR(IF(VLOOKUP(K169,데이터입력!$C$3:$L$40,5,FALSE)&lt;1000,ROUNDUP(VLOOKUP(K169,데이터입력!$C$3:$L$40,5,FALSE)*1/1000,0),ROUND(VLOOKUP(K169,데이터입력!$C$3:$L$40,5,FALSE)*1/1000,0)),0)</f>
        <v>0</v>
      </c>
      <c r="I169" s="109">
        <f>IFERROR(IF(F169="06",IF(V169&lt;1000,ROUNDUP((V169)*1/1000,0),ROUND((V169)*1/1000,0)),IF(F169="07",IF(W169&lt;1000,ROUNDUP((W169)*1/1000,0),ROUND((W169)*1/1000,0)),IF(F169="05",IF(X169&lt;1000,ROUNDUP((X169)*1/1000,0),ROUND((X169)*1/1000,0))))),0)</f>
        <v>0</v>
      </c>
      <c r="J169" s="110">
        <f>I169-H169</f>
        <v>0</v>
      </c>
      <c r="K169" s="110" t="str">
        <f>D169&amp;"("&amp;G169&amp;")"</f>
        <v>기타예금이자수입(후원금)</v>
      </c>
      <c r="L169" s="222" t="str">
        <f>D169</f>
        <v>기타예금이자수입</v>
      </c>
      <c r="M169" s="112"/>
      <c r="N169" s="113"/>
      <c r="O169" s="114"/>
      <c r="P169" s="113"/>
      <c r="Q169" s="114"/>
      <c r="R169" s="113"/>
      <c r="S169" s="114"/>
      <c r="T169" s="114"/>
      <c r="U169" s="114"/>
      <c r="V169" s="115"/>
      <c r="W169" s="115"/>
      <c r="X169" s="115">
        <f>SUM(X170:X171)</f>
        <v>0</v>
      </c>
      <c r="Y169" s="115">
        <f>SUM(V169:X169)</f>
        <v>0</v>
      </c>
    </row>
    <row r="170" spans="1:26">
      <c r="A170" s="117"/>
      <c r="B170" s="117"/>
      <c r="C170" s="1655"/>
      <c r="D170" s="1655"/>
      <c r="E170" s="117"/>
      <c r="F170" s="131"/>
      <c r="G170" s="117"/>
      <c r="H170" s="132"/>
      <c r="I170" s="132"/>
      <c r="J170" s="132"/>
      <c r="K170" s="206"/>
      <c r="L170" s="126" t="s">
        <v>422</v>
      </c>
      <c r="M170" s="210"/>
      <c r="N170" s="123">
        <f>IF(P170="",ROUNDUP(데이터입력!T68/R170,-3),ROUNDUP(데이터입력!T68/P170/R170,-3))</f>
        <v>0</v>
      </c>
      <c r="O170" s="120" t="str">
        <f>IF(P170="","","x ")</f>
        <v/>
      </c>
      <c r="P170" s="124"/>
      <c r="Q170" s="120" t="s">
        <v>404</v>
      </c>
      <c r="R170" s="125">
        <f>데이터입력!$U$68</f>
        <v>2</v>
      </c>
      <c r="S170" s="120"/>
      <c r="T170" s="120" t="s">
        <v>405</v>
      </c>
      <c r="U170" s="120"/>
      <c r="V170" s="121"/>
      <c r="X170" s="121">
        <f>IF(P170=0,N170*R170,N170*P170*R170)</f>
        <v>0</v>
      </c>
      <c r="Y170" s="121"/>
    </row>
    <row r="171" spans="1:26" hidden="1">
      <c r="A171" s="117"/>
      <c r="B171" s="117"/>
      <c r="C171" s="1656"/>
      <c r="D171" s="1656"/>
      <c r="E171" s="133"/>
      <c r="F171" s="134"/>
      <c r="G171" s="133"/>
      <c r="H171" s="135"/>
      <c r="I171" s="135"/>
      <c r="J171" s="135"/>
      <c r="K171" s="207"/>
      <c r="L171" s="129" t="s">
        <v>406</v>
      </c>
      <c r="M171" s="136"/>
      <c r="N171" s="137">
        <v>0</v>
      </c>
      <c r="O171" s="130" t="s">
        <v>404</v>
      </c>
      <c r="P171" s="138">
        <v>0</v>
      </c>
      <c r="Q171" s="130" t="s">
        <v>404</v>
      </c>
      <c r="R171" s="139">
        <f>데이터입력!$Y$8</f>
        <v>12</v>
      </c>
      <c r="S171" s="130"/>
      <c r="T171" s="130" t="s">
        <v>405</v>
      </c>
      <c r="U171" s="130"/>
      <c r="V171" s="140"/>
      <c r="W171" s="211"/>
      <c r="X171" s="140">
        <f>IF(P171=0,N171*R171,N171*P171*R171)</f>
        <v>0</v>
      </c>
      <c r="Y171" s="140"/>
    </row>
    <row r="172" spans="1:26">
      <c r="A172" s="117"/>
      <c r="B172" s="117"/>
      <c r="C172" s="107" t="s">
        <v>37</v>
      </c>
      <c r="D172" s="107" t="s">
        <v>37</v>
      </c>
      <c r="E172" s="107">
        <v>410010301</v>
      </c>
      <c r="F172" s="108" t="s">
        <v>83</v>
      </c>
      <c r="G172" s="107" t="s">
        <v>6</v>
      </c>
      <c r="H172" s="109">
        <f>IFERROR(IF(VLOOKUP(K172,데이터입력!$C$3:$L$40,5,FALSE)&lt;1000,ROUNDUP(VLOOKUP(K172,데이터입력!$C$3:$L$40,5,FALSE)*1/1000,0),ROUND(VLOOKUP(K172,데이터입력!$C$3:$L$40,5,FALSE)*1/1000,0)),0)</f>
        <v>0</v>
      </c>
      <c r="I172" s="109">
        <f>IFERROR(IF(F172="06",IF(V172&lt;1000,ROUNDUP((V172)*1/1000,0),ROUND((V172)*1/1000,0)),IF(F172="07",IF(W172&lt;1000,ROUNDUP((W172)*1/1000,0),ROUND((W172)*1/1000,0)),IF(F172="05",IF(X172&lt;1000,ROUNDUP((X172)*1/1000,0),ROUND((X172)*1/1000,0))))),0)</f>
        <v>0</v>
      </c>
      <c r="J172" s="110">
        <f>I172-H172</f>
        <v>0</v>
      </c>
      <c r="K172" s="110" t="str">
        <f>D172&amp;"("&amp;G172&amp;")"</f>
        <v>직원식재료수입(수익사업)</v>
      </c>
      <c r="L172" s="111" t="str">
        <f>D172</f>
        <v>직원식재료수입</v>
      </c>
      <c r="M172" s="112"/>
      <c r="N172" s="113"/>
      <c r="O172" s="114"/>
      <c r="P172" s="113"/>
      <c r="Q172" s="114"/>
      <c r="R172" s="113"/>
      <c r="S172" s="114"/>
      <c r="T172" s="114"/>
      <c r="U172" s="114"/>
      <c r="V172" s="115">
        <f>SUM(V173:V174)</f>
        <v>0</v>
      </c>
      <c r="W172" s="115">
        <f t="shared" ref="W172:X172" si="69">SUM(W173:W174)</f>
        <v>0</v>
      </c>
      <c r="X172" s="115">
        <f t="shared" si="69"/>
        <v>0</v>
      </c>
      <c r="Y172" s="115">
        <f>SUM(V172:X172)</f>
        <v>0</v>
      </c>
      <c r="Z172" s="97">
        <f>IFERROR(VLOOKUP(L172,데이터입력!$R$35:$T$56,3,FALSE),0)</f>
        <v>0</v>
      </c>
    </row>
    <row r="173" spans="1:26">
      <c r="A173" s="117"/>
      <c r="B173" s="117"/>
      <c r="C173" s="117"/>
      <c r="D173" s="117"/>
      <c r="E173" s="117"/>
      <c r="F173" s="131"/>
      <c r="G173" s="117"/>
      <c r="H173" s="132"/>
      <c r="I173" s="132"/>
      <c r="J173" s="132"/>
      <c r="K173" s="206"/>
      <c r="L173" s="126" t="str">
        <f>"    - "&amp;L172</f>
        <v xml:space="preserve">    - 직원식재료수입</v>
      </c>
      <c r="M173" s="210"/>
      <c r="N173" s="123">
        <f>$Z$172</f>
        <v>0</v>
      </c>
      <c r="O173" s="120" t="str">
        <f>IF(P173="","","x ")</f>
        <v xml:space="preserve">x </v>
      </c>
      <c r="P173" s="124">
        <f>IF(데이터입력!$U$55=0,"",데이터입력!$U$55)</f>
        <v>29</v>
      </c>
      <c r="Q173" s="120" t="s">
        <v>404</v>
      </c>
      <c r="R173" s="125">
        <f>데이터입력!$Y$8</f>
        <v>12</v>
      </c>
      <c r="S173" s="120"/>
      <c r="T173" s="120" t="s">
        <v>405</v>
      </c>
      <c r="U173" s="120"/>
      <c r="V173" s="121">
        <f>IF(OR(P173="",P173=0),0,N173*P173*R173)</f>
        <v>0</v>
      </c>
      <c r="W173" s="121"/>
      <c r="X173" s="121"/>
      <c r="Y173" s="121"/>
    </row>
    <row r="174" spans="1:26" hidden="1">
      <c r="A174" s="117"/>
      <c r="B174" s="117"/>
      <c r="C174" s="133"/>
      <c r="D174" s="133"/>
      <c r="E174" s="133"/>
      <c r="F174" s="134"/>
      <c r="G174" s="133"/>
      <c r="H174" s="135"/>
      <c r="I174" s="135"/>
      <c r="J174" s="135"/>
      <c r="K174" s="207"/>
      <c r="L174" s="129" t="s">
        <v>406</v>
      </c>
      <c r="M174" s="136"/>
      <c r="N174" s="137">
        <v>0</v>
      </c>
      <c r="O174" s="130" t="s">
        <v>404</v>
      </c>
      <c r="P174" s="138">
        <v>0</v>
      </c>
      <c r="Q174" s="130" t="s">
        <v>404</v>
      </c>
      <c r="R174" s="139">
        <f>데이터입력!$Y$8</f>
        <v>12</v>
      </c>
      <c r="S174" s="130"/>
      <c r="T174" s="130" t="s">
        <v>405</v>
      </c>
      <c r="U174" s="130"/>
      <c r="V174" s="140">
        <f>IF(P174=0,N174*R174,N174*P174*R174)</f>
        <v>0</v>
      </c>
      <c r="W174" s="140"/>
      <c r="X174" s="140"/>
      <c r="Y174" s="140"/>
    </row>
    <row r="175" spans="1:26">
      <c r="A175" s="117"/>
      <c r="B175" s="117"/>
      <c r="C175" s="107" t="s">
        <v>38</v>
      </c>
      <c r="D175" s="107" t="s">
        <v>38</v>
      </c>
      <c r="E175" s="107">
        <v>410010401</v>
      </c>
      <c r="F175" s="108" t="s">
        <v>83</v>
      </c>
      <c r="G175" s="107" t="s">
        <v>6</v>
      </c>
      <c r="H175" s="109">
        <f>IFERROR(IF(VLOOKUP(K175,데이터입력!$C$3:$L$40,5,FALSE)&lt;1000,ROUNDUP(VLOOKUP(K175,데이터입력!$C$3:$L$40,5,FALSE)*1/1000,0),ROUND(VLOOKUP(K175,데이터입력!$C$3:$L$40,5,FALSE)*1/1000,0)),0)</f>
        <v>12000</v>
      </c>
      <c r="I175" s="109">
        <f>IFERROR(IF(F175="06",IF(V175&lt;1000,ROUNDUP((V175)*1/1000,0),ROUND((V175)*1/1000,0)),IF(F175="07",IF(W175&lt;1000,ROUNDUP((W175)*1/1000,0),ROUND((W175)*1/1000,0)),IF(F175="05",IF(X175&lt;1000,ROUNDUP((X175)*1/1000,0),ROUND((X175)*1/1000,0))))),0)</f>
        <v>12000</v>
      </c>
      <c r="J175" s="110">
        <f>I175-H175</f>
        <v>0</v>
      </c>
      <c r="K175" s="110" t="str">
        <f>D175&amp;"("&amp;G175&amp;")"</f>
        <v>기타잡수입(수익사업)</v>
      </c>
      <c r="L175" s="111" t="str">
        <f>D175</f>
        <v>기타잡수입</v>
      </c>
      <c r="M175" s="112"/>
      <c r="N175" s="113"/>
      <c r="O175" s="114"/>
      <c r="P175" s="113"/>
      <c r="Q175" s="114"/>
      <c r="R175" s="113"/>
      <c r="S175" s="114"/>
      <c r="T175" s="114"/>
      <c r="U175" s="114"/>
      <c r="V175" s="115">
        <f>SUM(V176:V182)</f>
        <v>12000000</v>
      </c>
      <c r="W175" s="115">
        <f t="shared" ref="W175:X175" si="70">SUM(W176:W182)</f>
        <v>0</v>
      </c>
      <c r="X175" s="115">
        <f t="shared" si="70"/>
        <v>0</v>
      </c>
      <c r="Y175" s="115">
        <f>SUM(V175:X175)</f>
        <v>12000000</v>
      </c>
      <c r="Z175" s="97">
        <f>IFERROR(VLOOKUP(L175,데이터입력!$R$35:$T$56,3,FALSE),0)</f>
        <v>12000000</v>
      </c>
    </row>
    <row r="176" spans="1:26">
      <c r="A176" s="117"/>
      <c r="B176" s="117"/>
      <c r="C176" s="117"/>
      <c r="D176" s="117"/>
      <c r="E176" s="117"/>
      <c r="F176" s="131"/>
      <c r="G176" s="117"/>
      <c r="H176" s="132"/>
      <c r="I176" s="132"/>
      <c r="J176" s="132"/>
      <c r="K176" s="206"/>
      <c r="L176" s="126" t="str">
        <f>"    - "&amp;데이터입력!AD25</f>
        <v xml:space="preserve">    - 기타잡수입</v>
      </c>
      <c r="M176" s="210"/>
      <c r="N176" s="123"/>
      <c r="O176" s="120"/>
      <c r="P176" s="124"/>
      <c r="Q176" s="120"/>
      <c r="R176" s="125"/>
      <c r="S176" s="120"/>
      <c r="T176" s="120" t="s">
        <v>405</v>
      </c>
      <c r="U176" s="120"/>
      <c r="V176" s="121">
        <f>데이터입력!AE25</f>
        <v>1200000</v>
      </c>
      <c r="W176" s="121"/>
      <c r="X176" s="121"/>
      <c r="Y176" s="121"/>
    </row>
    <row r="177" spans="1:38">
      <c r="A177" s="117"/>
      <c r="B177" s="117"/>
      <c r="C177" s="117"/>
      <c r="D177" s="117"/>
      <c r="E177" s="117"/>
      <c r="F177" s="131"/>
      <c r="G177" s="117"/>
      <c r="H177" s="132"/>
      <c r="I177" s="132"/>
      <c r="J177" s="132"/>
      <c r="K177" s="206"/>
      <c r="L177" s="126" t="str">
        <f>"    - "&amp;데이터입력!AD26</f>
        <v xml:space="preserve">    - 의료비대납외</v>
      </c>
      <c r="M177" s="210"/>
      <c r="N177" s="123">
        <f>데이터입력!AE26</f>
        <v>400000</v>
      </c>
      <c r="O177" s="120" t="str">
        <f t="shared" ref="O177:O180" si="71">IF(P177="","","x ")</f>
        <v/>
      </c>
      <c r="P177" s="124"/>
      <c r="Q177" s="120" t="s">
        <v>404</v>
      </c>
      <c r="R177" s="125">
        <f>데이터입력!AF26</f>
        <v>12</v>
      </c>
      <c r="S177" s="120"/>
      <c r="T177" s="120" t="s">
        <v>405</v>
      </c>
      <c r="U177" s="120"/>
      <c r="V177" s="121">
        <f>IF(P177=0,N177*R177,N177*P177*R177)</f>
        <v>4800000</v>
      </c>
      <c r="W177" s="121"/>
      <c r="X177" s="121"/>
      <c r="Y177" s="121"/>
    </row>
    <row r="178" spans="1:38">
      <c r="A178" s="117"/>
      <c r="B178" s="117"/>
      <c r="C178" s="117"/>
      <c r="D178" s="117"/>
      <c r="E178" s="117"/>
      <c r="F178" s="131"/>
      <c r="G178" s="117"/>
      <c r="H178" s="132"/>
      <c r="I178" s="132"/>
      <c r="J178" s="132"/>
      <c r="K178" s="206"/>
      <c r="L178" s="126" t="str">
        <f>"    - "&amp;데이터입력!AD27</f>
        <v xml:space="preserve">    - 각종근로지원금</v>
      </c>
      <c r="M178" s="210"/>
      <c r="N178" s="123">
        <f>데이터입력!AE27</f>
        <v>500000</v>
      </c>
      <c r="O178" s="120" t="str">
        <f t="shared" si="71"/>
        <v/>
      </c>
      <c r="P178" s="124"/>
      <c r="Q178" s="120" t="str">
        <f>IF(R178="","","x ")</f>
        <v xml:space="preserve">x </v>
      </c>
      <c r="R178" s="125">
        <f>데이터입력!AF27</f>
        <v>12</v>
      </c>
      <c r="S178" s="120"/>
      <c r="T178" s="120" t="s">
        <v>405</v>
      </c>
      <c r="U178" s="120"/>
      <c r="V178" s="121">
        <f t="shared" ref="V178:V182" si="72">IF(P178=0,N178*R178,N178*P178*R178)</f>
        <v>6000000</v>
      </c>
      <c r="W178" s="121"/>
      <c r="X178" s="121"/>
      <c r="Y178" s="121"/>
    </row>
    <row r="179" spans="1:38">
      <c r="A179" s="117"/>
      <c r="B179" s="117"/>
      <c r="C179" s="117"/>
      <c r="D179" s="117"/>
      <c r="E179" s="117"/>
      <c r="F179" s="131"/>
      <c r="G179" s="117"/>
      <c r="H179" s="132"/>
      <c r="I179" s="132"/>
      <c r="J179" s="132"/>
      <c r="K179" s="206"/>
      <c r="L179" s="126" t="str">
        <f>"    - "&amp;데이터입력!AD28</f>
        <v xml:space="preserve">    - </v>
      </c>
      <c r="M179" s="210"/>
      <c r="N179" s="123">
        <f>데이터입력!AE28</f>
        <v>0</v>
      </c>
      <c r="O179" s="120" t="str">
        <f t="shared" si="71"/>
        <v/>
      </c>
      <c r="P179" s="124"/>
      <c r="Q179" s="120" t="str">
        <f>IF(R179="","","x ")</f>
        <v xml:space="preserve">x </v>
      </c>
      <c r="R179" s="125">
        <f>데이터입력!AF28</f>
        <v>12</v>
      </c>
      <c r="S179" s="120"/>
      <c r="T179" s="120" t="s">
        <v>405</v>
      </c>
      <c r="U179" s="120"/>
      <c r="V179" s="121">
        <f t="shared" si="72"/>
        <v>0</v>
      </c>
      <c r="W179" s="121"/>
      <c r="X179" s="121"/>
      <c r="Y179" s="121"/>
    </row>
    <row r="180" spans="1:38">
      <c r="A180" s="117"/>
      <c r="B180" s="117"/>
      <c r="C180" s="117"/>
      <c r="D180" s="117"/>
      <c r="E180" s="117"/>
      <c r="F180" s="131"/>
      <c r="G180" s="117"/>
      <c r="H180" s="132"/>
      <c r="I180" s="132"/>
      <c r="J180" s="132"/>
      <c r="K180" s="206"/>
      <c r="L180" s="126" t="str">
        <f>"    - "&amp;데이터입력!AD29</f>
        <v xml:space="preserve">    - </v>
      </c>
      <c r="M180" s="210"/>
      <c r="N180" s="123">
        <f>데이터입력!AE29</f>
        <v>0</v>
      </c>
      <c r="O180" s="120" t="str">
        <f t="shared" si="71"/>
        <v/>
      </c>
      <c r="P180" s="124"/>
      <c r="Q180" s="120" t="str">
        <f t="shared" ref="Q180:Q182" si="73">IF(R180="","","x ")</f>
        <v xml:space="preserve">x </v>
      </c>
      <c r="R180" s="125">
        <f>데이터입력!AF29</f>
        <v>12</v>
      </c>
      <c r="S180" s="120"/>
      <c r="T180" s="120" t="s">
        <v>405</v>
      </c>
      <c r="U180" s="120"/>
      <c r="V180" s="121">
        <f t="shared" si="72"/>
        <v>0</v>
      </c>
      <c r="W180" s="121"/>
      <c r="X180" s="121"/>
      <c r="Y180" s="121"/>
    </row>
    <row r="181" spans="1:38" hidden="1">
      <c r="A181" s="117"/>
      <c r="B181" s="117"/>
      <c r="C181" s="117"/>
      <c r="D181" s="117"/>
      <c r="E181" s="117"/>
      <c r="F181" s="131"/>
      <c r="G181" s="117"/>
      <c r="H181" s="132"/>
      <c r="I181" s="132"/>
      <c r="J181" s="132"/>
      <c r="K181" s="206"/>
      <c r="L181" s="126" t="str">
        <f>"    - "&amp;데이터입력!AD30</f>
        <v xml:space="preserve">    - </v>
      </c>
      <c r="M181" s="210"/>
      <c r="N181" s="123">
        <f>데이터입력!AE30</f>
        <v>0</v>
      </c>
      <c r="O181" s="120" t="str">
        <f t="shared" ref="O181:O182" si="74">IF(R181="","","x ")</f>
        <v xml:space="preserve">x </v>
      </c>
      <c r="P181" s="124"/>
      <c r="Q181" s="120" t="str">
        <f t="shared" si="73"/>
        <v xml:space="preserve">x </v>
      </c>
      <c r="R181" s="125">
        <f>데이터입력!AF30</f>
        <v>12</v>
      </c>
      <c r="S181" s="120"/>
      <c r="T181" s="120" t="s">
        <v>405</v>
      </c>
      <c r="U181" s="120"/>
      <c r="V181" s="121">
        <f t="shared" si="72"/>
        <v>0</v>
      </c>
      <c r="W181" s="121"/>
      <c r="X181" s="121"/>
      <c r="Y181" s="121"/>
    </row>
    <row r="182" spans="1:38" hidden="1">
      <c r="A182" s="133"/>
      <c r="B182" s="133"/>
      <c r="C182" s="133"/>
      <c r="D182" s="133"/>
      <c r="E182" s="133"/>
      <c r="F182" s="134"/>
      <c r="G182" s="133"/>
      <c r="H182" s="135"/>
      <c r="I182" s="135"/>
      <c r="J182" s="135"/>
      <c r="K182" s="207"/>
      <c r="L182" s="129" t="str">
        <f>"    - "&amp;데이터입력!AD31</f>
        <v xml:space="preserve">    - </v>
      </c>
      <c r="M182" s="136"/>
      <c r="N182" s="137">
        <f>데이터입력!AE31</f>
        <v>0</v>
      </c>
      <c r="O182" s="130" t="str">
        <f t="shared" si="74"/>
        <v xml:space="preserve">x </v>
      </c>
      <c r="P182" s="138"/>
      <c r="Q182" s="130" t="str">
        <f t="shared" si="73"/>
        <v xml:space="preserve">x </v>
      </c>
      <c r="R182" s="139">
        <f>데이터입력!AF31</f>
        <v>12</v>
      </c>
      <c r="S182" s="130"/>
      <c r="T182" s="130" t="s">
        <v>405</v>
      </c>
      <c r="U182" s="130"/>
      <c r="V182" s="140">
        <f t="shared" si="72"/>
        <v>0</v>
      </c>
      <c r="W182" s="140"/>
      <c r="X182" s="140"/>
      <c r="Y182" s="140"/>
    </row>
    <row r="183" spans="1:38" ht="21" customHeight="1">
      <c r="A183" s="1651" t="s">
        <v>337</v>
      </c>
      <c r="B183" s="1652"/>
      <c r="C183" s="1652"/>
      <c r="D183" s="1652"/>
      <c r="E183" s="1652"/>
      <c r="F183" s="1652"/>
      <c r="G183" s="1653"/>
      <c r="H183" s="141">
        <f>SUM(H159,H143,H130,H123,H91,H84,H47,H43,H39,H4)</f>
        <v>1760404</v>
      </c>
      <c r="I183" s="141">
        <f>SUM(I159,I143,I130,I123,I91,I84,I47,I43,I39,I4)</f>
        <v>1835979</v>
      </c>
      <c r="J183" s="141">
        <f>SUM(J159,J143,J130,J123,J91,J84,J47,J43,J39,J4)</f>
        <v>75575</v>
      </c>
      <c r="K183" s="208"/>
      <c r="L183" s="233"/>
      <c r="M183" s="234"/>
      <c r="N183" s="274" t="s">
        <v>423</v>
      </c>
      <c r="O183" s="275"/>
      <c r="P183" s="275"/>
      <c r="Q183" s="275"/>
      <c r="R183" s="276"/>
      <c r="S183" s="276"/>
      <c r="T183" s="276"/>
      <c r="U183" s="276"/>
      <c r="V183" s="277">
        <f>SUM(V159,V143,V130,V123,V91,V84,V47,V43,V39,V4)</f>
        <v>1776688639</v>
      </c>
      <c r="W183" s="277">
        <f t="shared" ref="W183:Y183" si="75">SUM(W159,W143,W130,W123,W91,W84,W47,W43,W39,W4)</f>
        <v>59290000</v>
      </c>
      <c r="X183" s="277">
        <f t="shared" si="75"/>
        <v>0</v>
      </c>
      <c r="Y183" s="277">
        <f t="shared" si="75"/>
        <v>1835978639</v>
      </c>
      <c r="AF183" s="142"/>
      <c r="AG183" s="143"/>
      <c r="AH183" s="143"/>
      <c r="AI183" s="143"/>
      <c r="AJ183" s="143"/>
      <c r="AK183" s="143"/>
      <c r="AL183" s="127"/>
    </row>
    <row r="184" spans="1:38" ht="23.25" customHeight="1">
      <c r="A184" s="100"/>
      <c r="B184" s="100"/>
      <c r="C184" s="100"/>
      <c r="D184" s="100"/>
      <c r="E184" s="100"/>
      <c r="F184" s="144"/>
      <c r="G184" s="100"/>
      <c r="H184" s="100"/>
      <c r="I184" s="100"/>
      <c r="J184" s="100"/>
      <c r="K184" s="100"/>
      <c r="L184" s="100"/>
      <c r="M184" s="100"/>
      <c r="N184" s="100"/>
      <c r="O184" s="101"/>
      <c r="P184" s="100"/>
      <c r="Q184" s="1650" t="str">
        <f>표지!B9</f>
        <v>(주)실버랜드</v>
      </c>
      <c r="R184" s="1650"/>
      <c r="S184" s="1650"/>
      <c r="T184" s="1650"/>
      <c r="U184" s="1650"/>
      <c r="V184" s="1650"/>
      <c r="W184" s="1650"/>
      <c r="X184" s="1650"/>
      <c r="Y184" s="1650"/>
    </row>
  </sheetData>
  <sheetProtection algorithmName="SHA-512" hashValue="jNPjH5zT1zRLFx7z3KmgR0Jc2aw/ycL9UU7fjsrjELUj2IPqkFDQsBdcXeHahei8JcvZb56ZA7St8Hm9R9SbYw==" saltValue="f7wbX+R/0jbC1F8rJ2tLiw==" spinCount="100000" sheet="1" objects="1" scenarios="1"/>
  <mergeCells count="20">
    <mergeCell ref="A1:X1"/>
    <mergeCell ref="F3:G3"/>
    <mergeCell ref="L3:U3"/>
    <mergeCell ref="C134:C136"/>
    <mergeCell ref="D134:D136"/>
    <mergeCell ref="R2:Y2"/>
    <mergeCell ref="C137:C139"/>
    <mergeCell ref="D137:D139"/>
    <mergeCell ref="C140:C142"/>
    <mergeCell ref="D140:D142"/>
    <mergeCell ref="C150:C152"/>
    <mergeCell ref="D150:D152"/>
    <mergeCell ref="Q184:Y184"/>
    <mergeCell ref="A183:G183"/>
    <mergeCell ref="C153:C155"/>
    <mergeCell ref="D153:D155"/>
    <mergeCell ref="C166:C168"/>
    <mergeCell ref="D166:D168"/>
    <mergeCell ref="C169:C171"/>
    <mergeCell ref="D169:D171"/>
  </mergeCells>
  <phoneticPr fontId="10" type="noConversion"/>
  <pageMargins left="0.25" right="0.25" top="0.75" bottom="0.75" header="0.3" footer="0.3"/>
  <pageSetup paperSize="9" scale="56" fitToHeight="0" orientation="landscape" r:id="rId1"/>
  <rowBreaks count="2" manualBreakCount="2">
    <brk id="74" max="24" man="1"/>
    <brk id="142" max="24" man="1"/>
  </rowBreaks>
  <ignoredErrors>
    <ignoredError sqref="F72:F182 F5:F68" numberStoredAsText="1"/>
    <ignoredError sqref="V30:V36 X88 V163"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2DA50-C384-472F-911E-12F79B5B06EC}">
  <sheetPr>
    <tabColor theme="4"/>
    <pageSetUpPr fitToPage="1"/>
  </sheetPr>
  <dimension ref="A1:AB308"/>
  <sheetViews>
    <sheetView tabSelected="1" view="pageBreakPreview" zoomScaleNormal="100" zoomScaleSheetLayoutView="100" workbookViewId="0">
      <selection activeCell="V307" sqref="V307:W307"/>
    </sheetView>
  </sheetViews>
  <sheetFormatPr defaultRowHeight="16.5"/>
  <cols>
    <col min="1" max="2" width="13.375" style="100" customWidth="1"/>
    <col min="3" max="4" width="13.625" style="100" customWidth="1"/>
    <col min="5" max="5" width="9.375" style="100" customWidth="1"/>
    <col min="6" max="6" width="3.125" style="806" customWidth="1"/>
    <col min="7" max="7" width="8.25" style="806" customWidth="1"/>
    <col min="8" max="10" width="9.625" style="806" customWidth="1"/>
    <col min="11" max="11" width="26.75" style="806" hidden="1" customWidth="1"/>
    <col min="12" max="12" width="26.75" style="806" customWidth="1"/>
    <col min="13" max="13" width="4.625" style="806" customWidth="1"/>
    <col min="14" max="14" width="11.875" style="806" customWidth="1"/>
    <col min="15" max="15" width="3.125" style="806" customWidth="1"/>
    <col min="16" max="16" width="7.625" style="806" customWidth="1"/>
    <col min="17" max="17" width="3.125" style="806" customWidth="1"/>
    <col min="18" max="18" width="5.75" style="806" customWidth="1"/>
    <col min="19" max="21" width="3.125" style="806" customWidth="1"/>
    <col min="22" max="23" width="14" style="806" customWidth="1"/>
    <col min="24" max="25" width="14" style="896" customWidth="1"/>
    <col min="26" max="27" width="14.125" style="158" hidden="1" customWidth="1"/>
    <col min="28" max="28" width="12.875" style="158" hidden="1" customWidth="1"/>
    <col min="29" max="29" width="9" customWidth="1"/>
  </cols>
  <sheetData>
    <row r="1" spans="1:28" ht="39">
      <c r="A1" s="1644" t="str">
        <f>IF(데이터입력!$AE$2="추경","세출 명세서 ("&amp;데이터입력!Y1&amp;"년도 추경"&amp;데이터입력!$AI$2&amp;"차)","세출 명세서 ("&amp;데이터입력!Y1&amp;"년도)")</f>
        <v>세출 명세서 (2026년도)</v>
      </c>
      <c r="B1" s="1644"/>
      <c r="C1" s="1644"/>
      <c r="D1" s="1644"/>
      <c r="E1" s="1644"/>
      <c r="F1" s="1644"/>
      <c r="G1" s="1644"/>
      <c r="H1" s="1644"/>
      <c r="I1" s="1644"/>
      <c r="J1" s="1644"/>
      <c r="K1" s="1644"/>
      <c r="L1" s="1644"/>
      <c r="M1" s="1644"/>
      <c r="N1" s="1644"/>
      <c r="O1" s="1644"/>
      <c r="P1" s="1644"/>
      <c r="Q1" s="1644"/>
      <c r="R1" s="1644"/>
      <c r="S1" s="1644"/>
      <c r="T1" s="1644"/>
      <c r="U1" s="1644"/>
      <c r="V1" s="1644"/>
      <c r="W1" s="1644"/>
      <c r="X1" s="1644"/>
      <c r="Y1" s="1644"/>
      <c r="Z1" s="100" t="s">
        <v>380</v>
      </c>
      <c r="AA1" s="100" t="s">
        <v>621</v>
      </c>
      <c r="AB1" s="100" t="s">
        <v>382</v>
      </c>
    </row>
    <row r="2" spans="1:28">
      <c r="A2" s="147" t="s">
        <v>425</v>
      </c>
      <c r="B2" s="99"/>
      <c r="C2" s="99"/>
      <c r="D2" s="99"/>
      <c r="E2" s="99"/>
      <c r="F2" s="805"/>
      <c r="G2" s="805"/>
      <c r="O2" s="807"/>
      <c r="Q2" s="807"/>
      <c r="R2" s="1662" t="s">
        <v>375</v>
      </c>
      <c r="S2" s="1662"/>
      <c r="T2" s="1662"/>
      <c r="U2" s="1662"/>
      <c r="V2" s="1662"/>
      <c r="W2" s="1662"/>
      <c r="X2" s="1662"/>
      <c r="Y2" s="1662"/>
      <c r="Z2" s="100"/>
      <c r="AA2" s="100"/>
      <c r="AB2" s="100"/>
    </row>
    <row r="3" spans="1:28">
      <c r="A3" s="102" t="s">
        <v>376</v>
      </c>
      <c r="B3" s="102" t="s">
        <v>377</v>
      </c>
      <c r="C3" s="102" t="s">
        <v>378</v>
      </c>
      <c r="D3" s="102" t="s">
        <v>1</v>
      </c>
      <c r="E3" s="102" t="s">
        <v>2</v>
      </c>
      <c r="F3" s="1659" t="s">
        <v>133</v>
      </c>
      <c r="G3" s="1667"/>
      <c r="H3" s="103" t="str">
        <f>IF(데이터입력!$AE$2="추경","본예산액","전년도예산")</f>
        <v>전년도예산</v>
      </c>
      <c r="I3" s="103" t="str">
        <f>IF(데이터입력!$AE$2="추경","추경예산액","예산액")</f>
        <v>예산액</v>
      </c>
      <c r="J3" s="103" t="s">
        <v>293</v>
      </c>
      <c r="K3" s="202"/>
      <c r="L3" s="1659" t="s">
        <v>379</v>
      </c>
      <c r="M3" s="1660"/>
      <c r="N3" s="1660"/>
      <c r="O3" s="1660"/>
      <c r="P3" s="1660"/>
      <c r="Q3" s="1660"/>
      <c r="R3" s="1660"/>
      <c r="S3" s="1660"/>
      <c r="T3" s="1660"/>
      <c r="U3" s="1660"/>
      <c r="V3" s="104" t="s">
        <v>380</v>
      </c>
      <c r="W3" s="104" t="s">
        <v>381</v>
      </c>
      <c r="X3" s="104" t="s">
        <v>382</v>
      </c>
      <c r="Y3" s="104" t="s">
        <v>629</v>
      </c>
      <c r="Z3" s="100"/>
      <c r="AA3" s="100"/>
      <c r="AB3" s="100"/>
    </row>
    <row r="4" spans="1:28">
      <c r="A4" s="266" t="s">
        <v>298</v>
      </c>
      <c r="B4" s="289"/>
      <c r="C4" s="262"/>
      <c r="D4" s="262"/>
      <c r="E4" s="262"/>
      <c r="F4" s="808"/>
      <c r="G4" s="808"/>
      <c r="H4" s="250">
        <f>SUM(H5,H73,H103)</f>
        <v>1226192</v>
      </c>
      <c r="I4" s="250">
        <f>SUM(I5,I73,I103)</f>
        <v>207534</v>
      </c>
      <c r="J4" s="250">
        <f>SUM(J5,J73,J103)</f>
        <v>-1018658</v>
      </c>
      <c r="K4" s="250"/>
      <c r="L4" s="263"/>
      <c r="M4" s="263"/>
      <c r="N4" s="263"/>
      <c r="O4" s="263"/>
      <c r="P4" s="263"/>
      <c r="Q4" s="263"/>
      <c r="R4" s="263"/>
      <c r="S4" s="263"/>
      <c r="T4" s="263"/>
      <c r="U4" s="263"/>
      <c r="V4" s="252" t="e">
        <f>SUM(V5,V73,V103)</f>
        <v>#REF!</v>
      </c>
      <c r="W4" s="252">
        <f>SUM(W5,W73,W103)</f>
        <v>0</v>
      </c>
      <c r="X4" s="252">
        <f>SUM(X5,X73,X103)</f>
        <v>0</v>
      </c>
      <c r="Y4" s="252" t="e">
        <f>SUM(V4:X4)</f>
        <v>#REF!</v>
      </c>
      <c r="Z4" s="155"/>
      <c r="AA4" s="155"/>
      <c r="AB4" s="100"/>
    </row>
    <row r="5" spans="1:28" s="254" customFormat="1">
      <c r="A5" s="270"/>
      <c r="B5" s="267" t="s">
        <v>39</v>
      </c>
      <c r="C5" s="271"/>
      <c r="D5" s="271"/>
      <c r="E5" s="271"/>
      <c r="F5" s="809"/>
      <c r="G5" s="810"/>
      <c r="H5" s="811">
        <f>SUM(H6,H8)+데이터입력!$AC$102</f>
        <v>1021658</v>
      </c>
      <c r="I5" s="811">
        <f>SUM(I6,I8)+데이터입력!$AE$102</f>
        <v>0</v>
      </c>
      <c r="J5" s="811">
        <f>I5-H5</f>
        <v>-1021658</v>
      </c>
      <c r="K5" s="811"/>
      <c r="L5" s="272" t="s">
        <v>426</v>
      </c>
      <c r="M5" s="272"/>
      <c r="N5" s="812"/>
      <c r="O5" s="813"/>
      <c r="P5" s="812"/>
      <c r="Q5" s="813"/>
      <c r="R5" s="812"/>
      <c r="S5" s="813"/>
      <c r="T5" s="813"/>
      <c r="U5" s="813"/>
      <c r="V5" s="814" t="e">
        <f>SUM(V6,V8)</f>
        <v>#REF!</v>
      </c>
      <c r="W5" s="814">
        <f>SUM(W6,W8)</f>
        <v>0</v>
      </c>
      <c r="X5" s="814">
        <f>SUM(X6,X8)</f>
        <v>0</v>
      </c>
      <c r="Y5" s="814" t="e">
        <f>SUM(Y6,Y8)</f>
        <v>#REF!</v>
      </c>
      <c r="Z5" s="155"/>
      <c r="AA5" s="155"/>
      <c r="AB5" s="155"/>
    </row>
    <row r="6" spans="1:28">
      <c r="A6" s="117"/>
      <c r="B6" s="149"/>
      <c r="C6" s="243"/>
      <c r="D6" s="243"/>
      <c r="E6" s="243"/>
      <c r="F6" s="815"/>
      <c r="G6" s="816"/>
      <c r="H6" s="817">
        <f>SUM(H11,H14,H15,H22,H25,H27,H35,H38,H39,H46,H49,H50,H57,H63,H64)</f>
        <v>930193</v>
      </c>
      <c r="I6" s="817">
        <f>SUM(I11,I14,I15,I22,I25,I27,I35,I38,I39,I46,I49,I50,I57,I63,I64)</f>
        <v>0</v>
      </c>
      <c r="J6" s="817">
        <f>I6-H6</f>
        <v>-930193</v>
      </c>
      <c r="K6" s="817"/>
      <c r="L6" s="818" t="s">
        <v>427</v>
      </c>
      <c r="M6" s="818"/>
      <c r="N6" s="819"/>
      <c r="O6" s="820"/>
      <c r="P6" s="821"/>
      <c r="Q6" s="820"/>
      <c r="R6" s="822"/>
      <c r="S6" s="820"/>
      <c r="T6" s="820"/>
      <c r="U6" s="820"/>
      <c r="V6" s="823" t="e">
        <f>SUM(V11,V22,V35,V46,V57)</f>
        <v>#REF!</v>
      </c>
      <c r="W6" s="823">
        <f>SUM(W11,W22,W35,W46,W57)</f>
        <v>0</v>
      </c>
      <c r="X6" s="823">
        <f>SUM(X11,X22,X35,X46,X57)</f>
        <v>0</v>
      </c>
      <c r="Y6" s="823" t="e">
        <f>SUM(Y11,Y22,Y35,Y46,Y57)</f>
        <v>#REF!</v>
      </c>
      <c r="Z6" s="100"/>
      <c r="AA6" s="100"/>
      <c r="AB6" s="100"/>
    </row>
    <row r="7" spans="1:28">
      <c r="A7" s="117"/>
      <c r="B7" s="149"/>
      <c r="C7" s="243"/>
      <c r="D7" s="243"/>
      <c r="E7" s="243"/>
      <c r="F7" s="815"/>
      <c r="G7" s="816"/>
      <c r="H7" s="824"/>
      <c r="I7" s="824"/>
      <c r="J7" s="824"/>
      <c r="K7" s="824"/>
      <c r="L7" s="210" t="e">
        <f>IF(데이터입력!$Y$27=1,"     ( "&amp;#REF!&amp;" )",IF(데이터입력!$Y$27&lt;=0,"","     ( "&amp;#REF!&amp;" 외 "&amp;데이터입력!$Y$27-1&amp;" 명 )"))</f>
        <v>#REF!</v>
      </c>
      <c r="M7" s="818"/>
      <c r="O7" s="807"/>
      <c r="Q7" s="807"/>
      <c r="S7" s="807"/>
      <c r="T7" s="807"/>
      <c r="U7" s="807"/>
      <c r="V7" s="825"/>
      <c r="W7" s="825"/>
      <c r="X7" s="825"/>
      <c r="Y7" s="825"/>
      <c r="Z7" s="100"/>
      <c r="AA7" s="100"/>
      <c r="AB7" s="100"/>
    </row>
    <row r="8" spans="1:28">
      <c r="A8" s="117"/>
      <c r="B8" s="149"/>
      <c r="C8" s="243"/>
      <c r="D8" s="243"/>
      <c r="E8" s="243"/>
      <c r="F8" s="815"/>
      <c r="G8" s="816"/>
      <c r="H8" s="817">
        <f>SUM(H16,H19,H20,H28,H31,H33,H40,H43,H44,H51,H54,H55,H65,H71,H72)</f>
        <v>91464</v>
      </c>
      <c r="I8" s="817">
        <f>SUM(I16,I19,I20,I28,I31,I33,I40,I43,I44,I51,I54,I55,I65,I71,I72)</f>
        <v>0</v>
      </c>
      <c r="J8" s="817">
        <f>I8-H8</f>
        <v>-91464</v>
      </c>
      <c r="K8" s="817"/>
      <c r="L8" s="818" t="s">
        <v>428</v>
      </c>
      <c r="M8" s="818"/>
      <c r="N8" s="819"/>
      <c r="O8" s="820"/>
      <c r="P8" s="821"/>
      <c r="Q8" s="820"/>
      <c r="R8" s="822"/>
      <c r="S8" s="820"/>
      <c r="T8" s="820"/>
      <c r="U8" s="820"/>
      <c r="V8" s="823" t="e">
        <f>SUM(V16,V28,V40,V51,V65)</f>
        <v>#REF!</v>
      </c>
      <c r="W8" s="823">
        <f>SUM(W16,W28,W40,W51,W65)</f>
        <v>0</v>
      </c>
      <c r="X8" s="823">
        <f>SUM(X16,X28,X40,X51,X65)</f>
        <v>0</v>
      </c>
      <c r="Y8" s="823" t="e">
        <f>SUM(Y16,Y28,Y40,Y51,Y65)</f>
        <v>#REF!</v>
      </c>
      <c r="Z8" s="100"/>
      <c r="AA8" s="100"/>
      <c r="AB8" s="100"/>
    </row>
    <row r="9" spans="1:28">
      <c r="A9" s="117"/>
      <c r="B9" s="151"/>
      <c r="C9" s="152"/>
      <c r="D9" s="152"/>
      <c r="E9" s="152"/>
      <c r="F9" s="826"/>
      <c r="G9" s="827"/>
      <c r="H9" s="828"/>
      <c r="I9" s="828"/>
      <c r="J9" s="828"/>
      <c r="K9" s="828"/>
      <c r="L9" s="136" t="e">
        <f>IF(데이터입력!$Y$28=1,"     ( "&amp;#REF!&amp;" )",IF(데이터입력!$Y$28&lt;=0,"","     ( "&amp;#REF!&amp;" 외 "&amp;데이터입력!$Y$28-1&amp;" 명 )"))</f>
        <v>#REF!</v>
      </c>
      <c r="M9" s="829"/>
      <c r="N9" s="830"/>
      <c r="O9" s="831"/>
      <c r="P9" s="830"/>
      <c r="Q9" s="831"/>
      <c r="R9" s="830"/>
      <c r="S9" s="831"/>
      <c r="T9" s="831"/>
      <c r="U9" s="831"/>
      <c r="V9" s="832"/>
      <c r="W9" s="832"/>
      <c r="X9" s="832"/>
      <c r="Y9" s="832"/>
      <c r="Z9" s="100"/>
      <c r="AA9" s="100"/>
      <c r="AB9" s="100"/>
    </row>
    <row r="10" spans="1:28" s="248" customFormat="1">
      <c r="A10" s="117"/>
      <c r="B10" s="117"/>
      <c r="C10" s="105" t="s">
        <v>250</v>
      </c>
      <c r="D10" s="148"/>
      <c r="E10" s="148"/>
      <c r="F10" s="833"/>
      <c r="G10" s="834"/>
      <c r="H10" s="835">
        <f>SUM(H11:H20)</f>
        <v>830332</v>
      </c>
      <c r="I10" s="835">
        <f>SUM(I11:I20)</f>
        <v>0</v>
      </c>
      <c r="J10" s="835">
        <f>SUM(J11:J20)</f>
        <v>-830332</v>
      </c>
      <c r="K10" s="835"/>
      <c r="L10" s="238"/>
      <c r="M10" s="238"/>
      <c r="N10" s="836"/>
      <c r="O10" s="837"/>
      <c r="P10" s="836"/>
      <c r="Q10" s="837"/>
      <c r="R10" s="836"/>
      <c r="S10" s="837"/>
      <c r="T10" s="837"/>
      <c r="U10" s="837"/>
      <c r="V10" s="838" t="e">
        <f>SUM(V11,V16)</f>
        <v>#REF!</v>
      </c>
      <c r="W10" s="838">
        <f>SUM(W11,W16)</f>
        <v>0</v>
      </c>
      <c r="X10" s="838">
        <f>SUM(X11,X16)</f>
        <v>0</v>
      </c>
      <c r="Y10" s="838" t="e">
        <f>SUM(V10:X10)</f>
        <v>#REF!</v>
      </c>
      <c r="Z10" s="100"/>
      <c r="AA10" s="100"/>
      <c r="AB10" s="100"/>
    </row>
    <row r="11" spans="1:28">
      <c r="A11" s="117"/>
      <c r="B11" s="117"/>
      <c r="C11" s="153"/>
      <c r="D11" s="107" t="s">
        <v>40</v>
      </c>
      <c r="E11" s="107">
        <v>501010101</v>
      </c>
      <c r="F11" s="839" t="s">
        <v>83</v>
      </c>
      <c r="G11" s="840" t="s">
        <v>6</v>
      </c>
      <c r="H11" s="841">
        <f>IFERROR(IF(VLOOKUP(K11,데이터입력!$C$42:$L$137,5,FALSE)&lt;1000,ROUNDUP(VLOOKUP(K11,데이터입력!$C$42:$L$137,5,FALSE)*1/1000,0),ROUND(VLOOKUP(K11,데이터입력!$C$42:$L$137,5,FALSE)*1/1000,0)),0)</f>
        <v>747532</v>
      </c>
      <c r="I11" s="841">
        <f>IFERROR(IF(F11="06",IF(V11&lt;1000,ROUNDUP((V11)*1/1000,0),ROUND((V11)*1/1000,0)),IF(F11="07",IF(W11&lt;1000,ROUNDUP((W11)*1/1000,0),ROUND((W11)*1/1000,0)),IF(F11="05",IF(X11&lt;1000,ROUNDUP((X11)*1/1000,0),ROUND((X11)*1/1000,0))))),0)</f>
        <v>0</v>
      </c>
      <c r="J11" s="841">
        <f>I11-H11</f>
        <v>-747532</v>
      </c>
      <c r="K11" s="842" t="str">
        <f>L11&amp;"("&amp;G11&amp;")"</f>
        <v>급여(직접비)(수익사업)</v>
      </c>
      <c r="L11" s="111" t="str">
        <f>D11</f>
        <v>급여(직접비)</v>
      </c>
      <c r="M11" s="112"/>
      <c r="N11" s="843"/>
      <c r="O11" s="844"/>
      <c r="P11" s="843"/>
      <c r="Q11" s="844"/>
      <c r="R11" s="843"/>
      <c r="S11" s="844"/>
      <c r="T11" s="844"/>
      <c r="U11" s="844"/>
      <c r="V11" s="845" t="e">
        <f>SUM(V12:V15)</f>
        <v>#REF!</v>
      </c>
      <c r="W11" s="845">
        <f>SUM(W12:W15)</f>
        <v>0</v>
      </c>
      <c r="X11" s="845">
        <f>SUM(X12:X15)</f>
        <v>0</v>
      </c>
      <c r="Y11" s="845" t="e">
        <f>SUM(V11:X11)</f>
        <v>#REF!</v>
      </c>
      <c r="Z11" s="154" t="e">
        <f>ROUND(#REF!-AA11-AB11,-3)</f>
        <v>#REF!</v>
      </c>
      <c r="AA11" s="154">
        <f>데이터입력!$T$103</f>
        <v>0</v>
      </c>
      <c r="AB11" s="150">
        <f>데이터입력!T133</f>
        <v>0</v>
      </c>
    </row>
    <row r="12" spans="1:28">
      <c r="A12" s="117"/>
      <c r="B12" s="117"/>
      <c r="C12" s="117"/>
      <c r="D12" s="117"/>
      <c r="E12" s="117"/>
      <c r="F12" s="846"/>
      <c r="G12" s="847"/>
      <c r="H12" s="848"/>
      <c r="I12" s="848"/>
      <c r="J12" s="848"/>
      <c r="K12" s="849"/>
      <c r="L12" s="126" t="str">
        <f>"  - "&amp;L11</f>
        <v xml:space="preserve">  - 급여(직접비)</v>
      </c>
      <c r="M12" s="210"/>
      <c r="N12" s="819" t="e">
        <f>IF(R12="",Z11,ROUND(Z11/R12,0))</f>
        <v>#REF!</v>
      </c>
      <c r="O12" s="120" t="str">
        <f>IF(P12="","","x ")</f>
        <v/>
      </c>
      <c r="P12" s="821"/>
      <c r="Q12" s="820" t="s">
        <v>404</v>
      </c>
      <c r="R12" s="822">
        <f>데이터입력!$Y$8</f>
        <v>12</v>
      </c>
      <c r="S12" s="820"/>
      <c r="T12" s="820" t="s">
        <v>405</v>
      </c>
      <c r="U12" s="820"/>
      <c r="V12" s="823" t="e">
        <f>Z11</f>
        <v>#REF!</v>
      </c>
      <c r="W12" s="825"/>
      <c r="X12" s="825"/>
      <c r="Y12" s="825"/>
      <c r="Z12" s="100"/>
      <c r="AA12" s="100"/>
      <c r="AB12" s="100"/>
    </row>
    <row r="13" spans="1:28">
      <c r="A13" s="117"/>
      <c r="B13" s="117"/>
      <c r="C13" s="117"/>
      <c r="D13" s="117"/>
      <c r="E13" s="117"/>
      <c r="F13" s="846"/>
      <c r="G13" s="847"/>
      <c r="H13" s="848"/>
      <c r="I13" s="848"/>
      <c r="J13" s="848"/>
      <c r="K13" s="850"/>
      <c r="L13" s="126" t="e">
        <f>IF(데이터입력!$Y$27=1,"     ( "&amp;#REF!&amp;" )",IF(데이터입력!$Y$27&lt;=0,"","     ( "&amp;#REF!&amp;" 외 "&amp;데이터입력!$Y$27-1&amp;" 명 )"))</f>
        <v>#REF!</v>
      </c>
      <c r="M13" s="210"/>
      <c r="N13" s="819"/>
      <c r="O13" s="820"/>
      <c r="P13" s="821"/>
      <c r="Q13" s="820"/>
      <c r="R13" s="822"/>
      <c r="S13" s="820"/>
      <c r="T13" s="820"/>
      <c r="U13" s="820"/>
      <c r="V13" s="823"/>
      <c r="W13" s="825"/>
      <c r="X13" s="825"/>
      <c r="Y13" s="825"/>
      <c r="Z13" s="100"/>
      <c r="AA13" s="100"/>
      <c r="AB13" s="100"/>
    </row>
    <row r="14" spans="1:28">
      <c r="A14" s="117"/>
      <c r="B14" s="117"/>
      <c r="C14" s="117"/>
      <c r="D14" s="117"/>
      <c r="E14" s="117"/>
      <c r="F14" s="851" t="s">
        <v>429</v>
      </c>
      <c r="G14" s="852" t="s">
        <v>430</v>
      </c>
      <c r="H14" s="853">
        <f>IFERROR(IF(VLOOKUP(K14,데이터입력!$C$42:$L$137,5,FALSE)&lt;1000,ROUNDUP(VLOOKUP(K14,데이터입력!$C$42:$L$137,5,FALSE)*1/1000,0),ROUND(VLOOKUP(K14,데이터입력!$C$42:$L$137,5,FALSE)*1/1000,0)),0)</f>
        <v>0</v>
      </c>
      <c r="I14" s="853">
        <f t="shared" ref="I14:I15" si="0">IFERROR(IF(F14="06",IF(V14&lt;1000,ROUNDUP((V14)*1/1000,0),ROUND((V14)*1/1000,0)),IF(F14="07",IF(W14&lt;1000,ROUNDUP((W14)*1/1000,0),ROUND((W14)*1/1000,0)),IF(F14="05",IF(X14&lt;1000,ROUNDUP((X14)*1/1000,0),ROUND((X14)*1/1000,0))))),0)</f>
        <v>0</v>
      </c>
      <c r="J14" s="854">
        <f>I14-H14</f>
        <v>0</v>
      </c>
      <c r="K14" s="231" t="str">
        <f>L14&amp;"("&amp;G14&amp;")"</f>
        <v>급여(직접비)(보조금)</v>
      </c>
      <c r="L14" s="239" t="str">
        <f>L11</f>
        <v>급여(직접비)</v>
      </c>
      <c r="M14" s="240"/>
      <c r="N14" s="855"/>
      <c r="O14" s="856"/>
      <c r="P14" s="857"/>
      <c r="Q14" s="856"/>
      <c r="R14" s="858"/>
      <c r="S14" s="856"/>
      <c r="T14" s="856" t="s">
        <v>405</v>
      </c>
      <c r="U14" s="859"/>
      <c r="V14" s="860"/>
      <c r="W14" s="861">
        <f>AA11</f>
        <v>0</v>
      </c>
      <c r="X14" s="861"/>
      <c r="Y14" s="861"/>
      <c r="Z14" s="100"/>
      <c r="AA14" s="100"/>
      <c r="AB14" s="100"/>
    </row>
    <row r="15" spans="1:28">
      <c r="A15" s="117"/>
      <c r="B15" s="117"/>
      <c r="C15" s="117"/>
      <c r="D15" s="133"/>
      <c r="E15" s="133"/>
      <c r="F15" s="862" t="s">
        <v>85</v>
      </c>
      <c r="G15" s="863" t="s">
        <v>19</v>
      </c>
      <c r="H15" s="864">
        <f>IFERROR(IF(VLOOKUP(K15,데이터입력!$C$42:$L$137,5,FALSE)&lt;1000,ROUNDUP(VLOOKUP(K15,데이터입력!$C$42:$L$137,5,FALSE)*1/1000,0),ROUND(VLOOKUP(K15,데이터입력!$C$42:$L$137,5,FALSE)*1/1000,0)),0)</f>
        <v>0</v>
      </c>
      <c r="I15" s="864">
        <f t="shared" si="0"/>
        <v>0</v>
      </c>
      <c r="J15" s="865">
        <f>I15-H15</f>
        <v>0</v>
      </c>
      <c r="K15" s="232" t="str">
        <f t="shared" ref="K15" si="1">L15&amp;"("&amp;G15&amp;")"</f>
        <v>급여(직접비)(후원금)</v>
      </c>
      <c r="L15" s="241" t="str">
        <f>L11</f>
        <v>급여(직접비)</v>
      </c>
      <c r="M15" s="242"/>
      <c r="N15" s="866"/>
      <c r="O15" s="867"/>
      <c r="P15" s="868"/>
      <c r="Q15" s="867"/>
      <c r="R15" s="869"/>
      <c r="S15" s="867"/>
      <c r="T15" s="867" t="s">
        <v>405</v>
      </c>
      <c r="U15" s="870"/>
      <c r="V15" s="871"/>
      <c r="W15" s="872"/>
      <c r="X15" s="871">
        <f>AB11</f>
        <v>0</v>
      </c>
      <c r="Y15" s="871"/>
      <c r="Z15" s="100"/>
      <c r="AA15" s="100"/>
      <c r="AB15" s="100"/>
    </row>
    <row r="16" spans="1:28">
      <c r="A16" s="117"/>
      <c r="B16" s="117"/>
      <c r="C16" s="117"/>
      <c r="D16" s="107" t="s">
        <v>41</v>
      </c>
      <c r="E16" s="107">
        <v>501010102</v>
      </c>
      <c r="F16" s="839" t="s">
        <v>83</v>
      </c>
      <c r="G16" s="840" t="s">
        <v>6</v>
      </c>
      <c r="H16" s="841">
        <f>IFERROR(IF(VLOOKUP(K16,데이터입력!$C$42:$L$137,5,FALSE)&lt;1000,ROUNDUP(VLOOKUP(K16,데이터입력!$C$42:$L$137,5,FALSE)*1/1000,0),ROUND(VLOOKUP(K16,데이터입력!$C$42:$L$137,5,FALSE)*1/1000,0)),0)</f>
        <v>82800</v>
      </c>
      <c r="I16" s="841">
        <f>IFERROR(IF(F16="06",IF(V16&lt;1000,ROUNDUP((V16)*1/1000,0),ROUND((V16)*1/1000,0)),IF(F16="07",IF(W16&lt;1000,ROUNDUP((W16)*1/1000,0),ROUND((W16)*1/1000,0)),IF(F16="05",IF(X16&lt;1000,ROUNDUP((X16)*1/1000,0),ROUND((X16)*1/1000,0))))),0)</f>
        <v>0</v>
      </c>
      <c r="J16" s="841">
        <f>I16-H16</f>
        <v>-82800</v>
      </c>
      <c r="K16" s="842" t="str">
        <f>L16&amp;"("&amp;G16&amp;")"</f>
        <v>급여(간접비)(수익사업)</v>
      </c>
      <c r="L16" s="111" t="str">
        <f>D16</f>
        <v>급여(간접비)</v>
      </c>
      <c r="M16" s="112"/>
      <c r="N16" s="843"/>
      <c r="O16" s="844"/>
      <c r="P16" s="843"/>
      <c r="Q16" s="844"/>
      <c r="R16" s="843"/>
      <c r="S16" s="844"/>
      <c r="T16" s="844"/>
      <c r="U16" s="844"/>
      <c r="V16" s="845" t="e">
        <f>SUM(V17:V20)</f>
        <v>#REF!</v>
      </c>
      <c r="W16" s="845">
        <f>SUM(W17:W20)</f>
        <v>0</v>
      </c>
      <c r="X16" s="845">
        <f>SUM(X17:X20)</f>
        <v>0</v>
      </c>
      <c r="Y16" s="845" t="e">
        <f>SUM(V16:X16)</f>
        <v>#REF!</v>
      </c>
      <c r="Z16" s="154" t="e">
        <f>ROUND(#REF!-AA16-AB16,-3)</f>
        <v>#REF!</v>
      </c>
      <c r="AA16" s="154">
        <f>데이터입력!$T$104</f>
        <v>0</v>
      </c>
      <c r="AB16" s="150">
        <f>데이터입력!T134</f>
        <v>0</v>
      </c>
    </row>
    <row r="17" spans="1:28">
      <c r="A17" s="117"/>
      <c r="B17" s="117"/>
      <c r="C17" s="117"/>
      <c r="D17" s="117"/>
      <c r="E17" s="117"/>
      <c r="F17" s="846"/>
      <c r="G17" s="847"/>
      <c r="H17" s="848"/>
      <c r="I17" s="848"/>
      <c r="J17" s="848"/>
      <c r="K17" s="849"/>
      <c r="L17" s="126" t="str">
        <f>"  - "&amp;L16</f>
        <v xml:space="preserve">  - 급여(간접비)</v>
      </c>
      <c r="M17" s="210"/>
      <c r="N17" s="819" t="e">
        <f>IF(R17="",Z16,ROUND(Z16/R17,0))</f>
        <v>#REF!</v>
      </c>
      <c r="O17" s="120" t="str">
        <f>IF(P17="","","x ")</f>
        <v/>
      </c>
      <c r="P17" s="821"/>
      <c r="Q17" s="820" t="s">
        <v>404</v>
      </c>
      <c r="R17" s="822">
        <f>데이터입력!$Y$8</f>
        <v>12</v>
      </c>
      <c r="S17" s="820"/>
      <c r="T17" s="820" t="s">
        <v>405</v>
      </c>
      <c r="U17" s="820"/>
      <c r="V17" s="823" t="e">
        <f>Z16</f>
        <v>#REF!</v>
      </c>
      <c r="W17" s="825"/>
      <c r="X17" s="825"/>
      <c r="Y17" s="825"/>
      <c r="Z17" s="100"/>
      <c r="AA17" s="100"/>
      <c r="AB17" s="100"/>
    </row>
    <row r="18" spans="1:28">
      <c r="A18" s="117"/>
      <c r="B18" s="117"/>
      <c r="C18" s="117"/>
      <c r="D18" s="117"/>
      <c r="E18" s="117"/>
      <c r="F18" s="846"/>
      <c r="G18" s="847"/>
      <c r="H18" s="848"/>
      <c r="I18" s="848"/>
      <c r="J18" s="848"/>
      <c r="K18" s="850"/>
      <c r="L18" s="126" t="e">
        <f>IF(데이터입력!$Y$28=1,"     ( "&amp;#REF!&amp;" )",IF(데이터입력!$Y$28&lt;=0,"","     ( "&amp;#REF!&amp;" 외 "&amp;데이터입력!$Y$28-1&amp;" 명 )"))</f>
        <v>#REF!</v>
      </c>
      <c r="M18" s="210"/>
      <c r="N18" s="819"/>
      <c r="O18" s="820"/>
      <c r="P18" s="821"/>
      <c r="Q18" s="820"/>
      <c r="R18" s="822"/>
      <c r="S18" s="820"/>
      <c r="T18" s="820"/>
      <c r="U18" s="820"/>
      <c r="V18" s="823"/>
      <c r="W18" s="825"/>
      <c r="X18" s="825"/>
      <c r="Y18" s="825"/>
      <c r="Z18" s="100"/>
      <c r="AA18" s="100"/>
      <c r="AB18" s="100"/>
    </row>
    <row r="19" spans="1:28">
      <c r="A19" s="117"/>
      <c r="B19" s="117"/>
      <c r="C19" s="117"/>
      <c r="D19" s="117"/>
      <c r="E19" s="117"/>
      <c r="F19" s="851" t="s">
        <v>418</v>
      </c>
      <c r="G19" s="852" t="s">
        <v>381</v>
      </c>
      <c r="H19" s="853">
        <f>IFERROR(IF(VLOOKUP(K19,데이터입력!$C$42:$L$137,5,FALSE)&lt;1000,ROUNDUP(VLOOKUP(K19,데이터입력!$C$42:$L$137,5,FALSE)*1/1000,0),ROUND(VLOOKUP(K19,데이터입력!$C$42:$L$137,5,FALSE)*1/1000,0)),0)</f>
        <v>0</v>
      </c>
      <c r="I19" s="853">
        <f t="shared" ref="I19:I20" si="2">IFERROR(IF(F19="06",IF(V19&lt;1000,ROUNDUP((V19)*1/1000,0),ROUND((V19)*1/1000,0)),IF(F19="07",IF(W19&lt;1000,ROUNDUP((W19)*1/1000,0),ROUND((W19)*1/1000,0)),IF(F19="05",IF(X19&lt;1000,ROUNDUP((X19)*1/1000,0),ROUND((X19)*1/1000,0))))),0)</f>
        <v>0</v>
      </c>
      <c r="J19" s="854">
        <f>I19-H19</f>
        <v>0</v>
      </c>
      <c r="K19" s="231" t="str">
        <f>L19&amp;"("&amp;G19&amp;")"</f>
        <v>급여(간접비)(보조금)</v>
      </c>
      <c r="L19" s="239" t="str">
        <f>L16</f>
        <v>급여(간접비)</v>
      </c>
      <c r="M19" s="240"/>
      <c r="N19" s="855"/>
      <c r="O19" s="856"/>
      <c r="P19" s="857"/>
      <c r="Q19" s="856"/>
      <c r="R19" s="858"/>
      <c r="S19" s="856"/>
      <c r="T19" s="856" t="s">
        <v>405</v>
      </c>
      <c r="U19" s="859"/>
      <c r="V19" s="860"/>
      <c r="W19" s="861">
        <f>AA16</f>
        <v>0</v>
      </c>
      <c r="X19" s="861"/>
      <c r="Y19" s="861"/>
      <c r="Z19" s="100"/>
      <c r="AA19" s="100"/>
      <c r="AB19" s="100"/>
    </row>
    <row r="20" spans="1:28">
      <c r="A20" s="117"/>
      <c r="B20" s="117"/>
      <c r="C20" s="117"/>
      <c r="D20" s="133"/>
      <c r="E20" s="133"/>
      <c r="F20" s="862" t="s">
        <v>85</v>
      </c>
      <c r="G20" s="863" t="s">
        <v>19</v>
      </c>
      <c r="H20" s="864">
        <f>IFERROR(IF(VLOOKUP(K20,데이터입력!$C$42:$L$137,5,FALSE)&lt;1000,ROUNDUP(VLOOKUP(K20,데이터입력!$C$42:$L$137,5,FALSE)*1/1000,0),ROUND(VLOOKUP(K20,데이터입력!$C$42:$L$137,5,FALSE)*1/1000,0)),0)</f>
        <v>0</v>
      </c>
      <c r="I20" s="864">
        <f t="shared" si="2"/>
        <v>0</v>
      </c>
      <c r="J20" s="865">
        <f>I20-H20</f>
        <v>0</v>
      </c>
      <c r="K20" s="232" t="str">
        <f t="shared" ref="K20" si="3">L20&amp;"("&amp;G20&amp;")"</f>
        <v>급여(간접비)(후원금)</v>
      </c>
      <c r="L20" s="241" t="str">
        <f>L16</f>
        <v>급여(간접비)</v>
      </c>
      <c r="M20" s="242"/>
      <c r="N20" s="866"/>
      <c r="O20" s="867"/>
      <c r="P20" s="868"/>
      <c r="Q20" s="867"/>
      <c r="R20" s="869"/>
      <c r="S20" s="867"/>
      <c r="T20" s="867" t="s">
        <v>405</v>
      </c>
      <c r="U20" s="870"/>
      <c r="V20" s="871"/>
      <c r="W20" s="872"/>
      <c r="X20" s="871">
        <f>AB16</f>
        <v>0</v>
      </c>
      <c r="Y20" s="871"/>
      <c r="Z20" s="100"/>
      <c r="AA20" s="100"/>
      <c r="AB20" s="100"/>
    </row>
    <row r="21" spans="1:28" s="248" customFormat="1">
      <c r="A21" s="117"/>
      <c r="B21" s="117"/>
      <c r="C21" s="105" t="s">
        <v>431</v>
      </c>
      <c r="D21" s="148"/>
      <c r="E21" s="148"/>
      <c r="F21" s="833"/>
      <c r="G21" s="834"/>
      <c r="H21" s="835">
        <f>SUM(H22:H33)</f>
        <v>0</v>
      </c>
      <c r="I21" s="835">
        <f>SUM(I22:I33)</f>
        <v>0</v>
      </c>
      <c r="J21" s="835">
        <f>SUM(J22:J33)</f>
        <v>0</v>
      </c>
      <c r="K21" s="835"/>
      <c r="L21" s="238"/>
      <c r="M21" s="238"/>
      <c r="N21" s="836"/>
      <c r="O21" s="837"/>
      <c r="P21" s="836"/>
      <c r="Q21" s="837"/>
      <c r="R21" s="836"/>
      <c r="S21" s="837"/>
      <c r="T21" s="837"/>
      <c r="U21" s="837"/>
      <c r="V21" s="838" t="e">
        <f>SUM(V22,V28)</f>
        <v>#REF!</v>
      </c>
      <c r="W21" s="838">
        <f>SUM(W22,W28)</f>
        <v>0</v>
      </c>
      <c r="X21" s="838">
        <f>SUM(X22,X28)</f>
        <v>0</v>
      </c>
      <c r="Y21" s="838" t="e">
        <f>SUM(V21:X21)</f>
        <v>#REF!</v>
      </c>
      <c r="Z21" s="100"/>
      <c r="AA21" s="100"/>
      <c r="AB21" s="100"/>
    </row>
    <row r="22" spans="1:28">
      <c r="A22" s="117"/>
      <c r="B22" s="117"/>
      <c r="C22" s="132"/>
      <c r="D22" s="107" t="s">
        <v>42</v>
      </c>
      <c r="E22" s="107">
        <v>501010201</v>
      </c>
      <c r="F22" s="839" t="s">
        <v>83</v>
      </c>
      <c r="G22" s="840" t="s">
        <v>6</v>
      </c>
      <c r="H22" s="841">
        <f>IFERROR(IF(VLOOKUP(K22,데이터입력!$C$42:$L$137,5,FALSE)&lt;1000,ROUNDUP(VLOOKUP(K22,데이터입력!$C$42:$L$137,5,FALSE)*1/1000,0),ROUND(VLOOKUP(K22,데이터입력!$C$42:$L$137,5,FALSE)*1/1000,0)),0)</f>
        <v>0</v>
      </c>
      <c r="I22" s="841">
        <f>IFERROR(IF(F22="06",IF(V22&lt;1000,ROUNDUP((V22)*1/1000,0),ROUND((V22)*1/1000,0)),IF(F22="07",IF(W22&lt;1000,ROUNDUP((W22)*1/1000,0),ROUND((W22)*1/1000,0)),IF(F22="05",IF(X22&lt;1000,ROUNDUP((X22)*1/1000,0),ROUND((X22)*1/1000,0))))),0)</f>
        <v>0</v>
      </c>
      <c r="J22" s="841">
        <f>I22-H22</f>
        <v>0</v>
      </c>
      <c r="K22" s="842" t="str">
        <f>L22&amp;"("&amp;G22&amp;")"</f>
        <v>각종수당(직접비)(수익사업)</v>
      </c>
      <c r="L22" s="111" t="str">
        <f>D22</f>
        <v>각종수당(직접비)</v>
      </c>
      <c r="M22" s="112"/>
      <c r="N22" s="843"/>
      <c r="O22" s="844"/>
      <c r="P22" s="843"/>
      <c r="Q22" s="844"/>
      <c r="R22" s="843"/>
      <c r="S22" s="844"/>
      <c r="T22" s="844"/>
      <c r="U22" s="844"/>
      <c r="V22" s="845" t="e">
        <f>SUM(V23:V27)</f>
        <v>#REF!</v>
      </c>
      <c r="W22" s="845">
        <f>SUM(W23:W27)</f>
        <v>0</v>
      </c>
      <c r="X22" s="845">
        <f>SUM(X23:X27)</f>
        <v>0</v>
      </c>
      <c r="Y22" s="845" t="e">
        <f>SUM(V22:X22)</f>
        <v>#REF!</v>
      </c>
      <c r="Z22" s="154" t="e">
        <f>ROUND(#REF!-AA22-AB22,-3)</f>
        <v>#REF!</v>
      </c>
      <c r="AA22" s="154">
        <f>데이터입력!$T$105</f>
        <v>0</v>
      </c>
      <c r="AB22" s="150">
        <f>데이터입력!T135</f>
        <v>0</v>
      </c>
    </row>
    <row r="23" spans="1:28">
      <c r="A23" s="117"/>
      <c r="B23" s="117"/>
      <c r="C23" s="117"/>
      <c r="D23" s="117"/>
      <c r="E23" s="117"/>
      <c r="F23" s="846"/>
      <c r="G23" s="847"/>
      <c r="H23" s="848"/>
      <c r="I23" s="848"/>
      <c r="J23" s="848"/>
      <c r="K23" s="849"/>
      <c r="L23" s="126" t="str">
        <f>"  - "&amp;L22</f>
        <v xml:space="preserve">  - 각종수당(직접비)</v>
      </c>
      <c r="M23" s="210"/>
      <c r="N23" s="819" t="e">
        <f>IF(R23="",Z22,ROUND(Z22/R23,0))</f>
        <v>#REF!</v>
      </c>
      <c r="O23" s="120" t="str">
        <f>IF(P23="","","x ")</f>
        <v/>
      </c>
      <c r="P23" s="821"/>
      <c r="Q23" s="820" t="s">
        <v>404</v>
      </c>
      <c r="R23" s="822">
        <f>데이터입력!$Y$8</f>
        <v>12</v>
      </c>
      <c r="S23" s="820"/>
      <c r="T23" s="820" t="s">
        <v>405</v>
      </c>
      <c r="U23" s="820"/>
      <c r="V23" s="823" t="e">
        <f>Z22</f>
        <v>#REF!</v>
      </c>
      <c r="W23" s="825"/>
      <c r="X23" s="825"/>
      <c r="Y23" s="825"/>
      <c r="Z23" s="100"/>
      <c r="AA23" s="100"/>
      <c r="AB23" s="100"/>
    </row>
    <row r="24" spans="1:28">
      <c r="A24" s="117"/>
      <c r="B24" s="117"/>
      <c r="C24" s="117"/>
      <c r="D24" s="117"/>
      <c r="E24" s="117"/>
      <c r="F24" s="846"/>
      <c r="G24" s="847"/>
      <c r="H24" s="848"/>
      <c r="I24" s="848"/>
      <c r="J24" s="848"/>
      <c r="K24" s="850"/>
      <c r="L24" s="1305" t="e">
        <f>IF(N23=0,"",IF(데이터입력!$Y$27=1,"     ( "&amp;#REF!&amp;" )",IF(데이터입력!$Y$27&lt;=0,"","     ( "&amp;#REF!&amp;" 외 "&amp;데이터입력!$Y$27-1&amp;" 명 )")))</f>
        <v>#REF!</v>
      </c>
      <c r="M24" s="210"/>
      <c r="N24" s="819"/>
      <c r="O24" s="820"/>
      <c r="P24" s="821"/>
      <c r="Q24" s="820"/>
      <c r="R24" s="822"/>
      <c r="S24" s="820"/>
      <c r="T24" s="820"/>
      <c r="U24" s="820"/>
      <c r="V24" s="823"/>
      <c r="W24" s="825"/>
      <c r="X24" s="825"/>
      <c r="Y24" s="825"/>
      <c r="Z24" s="100"/>
      <c r="AA24" s="100"/>
      <c r="AB24" s="100"/>
    </row>
    <row r="25" spans="1:28">
      <c r="A25" s="117"/>
      <c r="B25" s="117"/>
      <c r="C25" s="117"/>
      <c r="D25" s="117"/>
      <c r="E25" s="117"/>
      <c r="F25" s="1286" t="s">
        <v>418</v>
      </c>
      <c r="G25" s="1287" t="s">
        <v>381</v>
      </c>
      <c r="H25" s="1288">
        <f>IFERROR(IF(VLOOKUP(K25,데이터입력!$C$42:$L$137,5,FALSE)&lt;1000,ROUNDUP(VLOOKUP(K25,데이터입력!$C$42:$L$137,5,FALSE)*1/1000,0),ROUND(VLOOKUP(K25,데이터입력!$C$42:$L$137,5,FALSE)*1/1000,0)),0)</f>
        <v>0</v>
      </c>
      <c r="I25" s="1288">
        <f t="shared" ref="I25:I27" si="4">IFERROR(IF(F25="06",IF(V25&lt;1000,ROUNDUP((V25)*1/1000,0),ROUND((V25)*1/1000,0)),IF(F25="07",IF(W25&lt;1000,ROUNDUP((W25)*1/1000,0),ROUND((W25)*1/1000,0)),IF(F25="05",IF(X25&lt;1000,ROUNDUP((X25)*1/1000,0),ROUND((X25)*1/1000,0))))),0)</f>
        <v>0</v>
      </c>
      <c r="J25" s="1289">
        <f>I25-H25</f>
        <v>0</v>
      </c>
      <c r="K25" s="1290" t="str">
        <f>L25&amp;"("&amp;G25&amp;")"</f>
        <v>각종수당(직접비)(보조금)</v>
      </c>
      <c r="L25" s="1291" t="str">
        <f>L22</f>
        <v>각종수당(직접비)</v>
      </c>
      <c r="M25" s="1292"/>
      <c r="N25" s="1293" t="str">
        <f>IF(AA22=0,"",ROUND(AA22/R25,0))</f>
        <v/>
      </c>
      <c r="O25" s="1294" t="str">
        <f>IF(P25="","","x ")</f>
        <v/>
      </c>
      <c r="P25" s="1295"/>
      <c r="Q25" s="1296" t="str">
        <f>IF(AA22=0,"","x")</f>
        <v/>
      </c>
      <c r="R25" s="1297" t="str">
        <f>IF(AA22=0,"",데이터입력!$Y$8)</f>
        <v/>
      </c>
      <c r="S25" s="1296"/>
      <c r="T25" s="1296" t="s">
        <v>405</v>
      </c>
      <c r="U25" s="1298"/>
      <c r="V25" s="1299"/>
      <c r="W25" s="1300">
        <f>AA22</f>
        <v>0</v>
      </c>
      <c r="X25" s="1300"/>
      <c r="Y25" s="1300"/>
      <c r="Z25" s="100"/>
      <c r="AA25" s="100"/>
      <c r="AB25" s="100"/>
    </row>
    <row r="26" spans="1:28">
      <c r="A26" s="117"/>
      <c r="B26" s="117"/>
      <c r="C26" s="117"/>
      <c r="D26" s="117"/>
      <c r="E26" s="117"/>
      <c r="F26" s="1301"/>
      <c r="G26" s="1302"/>
      <c r="H26" s="1303"/>
      <c r="I26" s="1303"/>
      <c r="J26" s="1303"/>
      <c r="K26" s="1304"/>
      <c r="L26" s="1305" t="e">
        <f>IF(N25=0,"",IF(데이터입력!$Y$27=1,"     ( "&amp;#REF!&amp;" )",IF(데이터입력!$Y$27&lt;=0,"","     ( "&amp;#REF!&amp;" 외 "&amp;데이터입력!$Y$27-1&amp;" 명 )")))</f>
        <v>#REF!</v>
      </c>
      <c r="M26" s="1306"/>
      <c r="N26" s="1307"/>
      <c r="O26" s="1308"/>
      <c r="P26" s="1309"/>
      <c r="Q26" s="1308"/>
      <c r="R26" s="1310"/>
      <c r="S26" s="1308"/>
      <c r="T26" s="1308"/>
      <c r="U26" s="1308"/>
      <c r="V26" s="1311"/>
      <c r="W26" s="1312"/>
      <c r="X26" s="1312"/>
      <c r="Y26" s="1312"/>
      <c r="Z26" s="100"/>
      <c r="AA26" s="100"/>
      <c r="AB26" s="100"/>
    </row>
    <row r="27" spans="1:28">
      <c r="A27" s="117"/>
      <c r="B27" s="117"/>
      <c r="C27" s="117"/>
      <c r="D27" s="133"/>
      <c r="E27" s="133"/>
      <c r="F27" s="862" t="s">
        <v>85</v>
      </c>
      <c r="G27" s="863" t="s">
        <v>19</v>
      </c>
      <c r="H27" s="864">
        <f>IFERROR(IF(VLOOKUP(K27,데이터입력!$C$42:$L$137,5,FALSE)&lt;1000,ROUNDUP(VLOOKUP(K27,데이터입력!$C$42:$L$137,5,FALSE)*1/1000,0),ROUND(VLOOKUP(K27,데이터입력!$C$42:$L$137,5,FALSE)*1/1000,0)),0)</f>
        <v>0</v>
      </c>
      <c r="I27" s="864">
        <f t="shared" si="4"/>
        <v>0</v>
      </c>
      <c r="J27" s="865">
        <f>I27-H27</f>
        <v>0</v>
      </c>
      <c r="K27" s="232" t="str">
        <f t="shared" ref="K27" si="5">L27&amp;"("&amp;G27&amp;")"</f>
        <v>각종수당(직접비)(후원금)</v>
      </c>
      <c r="L27" s="241" t="str">
        <f>L22</f>
        <v>각종수당(직접비)</v>
      </c>
      <c r="M27" s="242"/>
      <c r="N27" s="866"/>
      <c r="O27" s="867"/>
      <c r="P27" s="868"/>
      <c r="Q27" s="867"/>
      <c r="R27" s="869"/>
      <c r="S27" s="867"/>
      <c r="T27" s="867" t="s">
        <v>405</v>
      </c>
      <c r="U27" s="870"/>
      <c r="V27" s="871"/>
      <c r="W27" s="872"/>
      <c r="X27" s="871">
        <f>AB22</f>
        <v>0</v>
      </c>
      <c r="Y27" s="871"/>
      <c r="Z27" s="100"/>
      <c r="AA27" s="100"/>
      <c r="AB27" s="100"/>
    </row>
    <row r="28" spans="1:28">
      <c r="A28" s="117"/>
      <c r="B28" s="117"/>
      <c r="C28" s="117"/>
      <c r="D28" s="107" t="s">
        <v>43</v>
      </c>
      <c r="E28" s="107">
        <v>501010202</v>
      </c>
      <c r="F28" s="839" t="s">
        <v>83</v>
      </c>
      <c r="G28" s="840" t="s">
        <v>6</v>
      </c>
      <c r="H28" s="841">
        <f>IFERROR(IF(VLOOKUP(K28,데이터입력!$C$42:$L$137,5,FALSE)&lt;1000,ROUNDUP(VLOOKUP(K28,데이터입력!$C$42:$L$137,5,FALSE)*1/1000,0),ROUND(VLOOKUP(K28,데이터입력!$C$42:$L$137,5,FALSE)*1/1000,0)),0)</f>
        <v>0</v>
      </c>
      <c r="I28" s="841">
        <f>IFERROR(IF(F28="06",IF(V28&lt;1000,ROUNDUP((V28)*1/1000,0),ROUND((V28)*1/1000,0)),IF(F28="07",IF(W28&lt;1000,ROUNDUP((W28)*1/1000,0),ROUND((W28)*1/1000,0)),IF(F28="05",IF(X28&lt;1000,ROUNDUP((X28)*1/1000,0),ROUND((X28)*1/1000,0))))),0)</f>
        <v>0</v>
      </c>
      <c r="J28" s="841">
        <f>I28-H28</f>
        <v>0</v>
      </c>
      <c r="K28" s="842" t="str">
        <f>L28&amp;"("&amp;G28&amp;")"</f>
        <v>각종수당(간접비)(수익사업)</v>
      </c>
      <c r="L28" s="111" t="str">
        <f>D28</f>
        <v>각종수당(간접비)</v>
      </c>
      <c r="M28" s="112"/>
      <c r="N28" s="843"/>
      <c r="O28" s="844"/>
      <c r="P28" s="843"/>
      <c r="Q28" s="844"/>
      <c r="R28" s="843"/>
      <c r="S28" s="844"/>
      <c r="T28" s="844"/>
      <c r="U28" s="844"/>
      <c r="V28" s="845" t="e">
        <f>SUM(V29:V33)</f>
        <v>#REF!</v>
      </c>
      <c r="W28" s="845">
        <f>SUM(W29:W33)</f>
        <v>0</v>
      </c>
      <c r="X28" s="845">
        <f>SUM(X29:X33)</f>
        <v>0</v>
      </c>
      <c r="Y28" s="845" t="e">
        <f>SUM(V28:X28)</f>
        <v>#REF!</v>
      </c>
      <c r="Z28" s="154" t="e">
        <f>ROUND(#REF!-AA28-AB28,-3)</f>
        <v>#REF!</v>
      </c>
      <c r="AA28" s="154">
        <f>데이터입력!$T$106</f>
        <v>0</v>
      </c>
      <c r="AB28" s="150">
        <f>데이터입력!T136</f>
        <v>0</v>
      </c>
    </row>
    <row r="29" spans="1:28">
      <c r="A29" s="117"/>
      <c r="B29" s="117"/>
      <c r="C29" s="117"/>
      <c r="D29" s="117"/>
      <c r="E29" s="117"/>
      <c r="F29" s="846"/>
      <c r="G29" s="847"/>
      <c r="H29" s="848"/>
      <c r="I29" s="848"/>
      <c r="J29" s="848"/>
      <c r="K29" s="849"/>
      <c r="L29" s="126" t="str">
        <f>"  - "&amp;L28</f>
        <v xml:space="preserve">  - 각종수당(간접비)</v>
      </c>
      <c r="M29" s="210"/>
      <c r="N29" s="819" t="e">
        <f>IF(R29="",Z28,ROUND(Z28/R29,0))</f>
        <v>#REF!</v>
      </c>
      <c r="O29" s="120" t="str">
        <f>IF(P29="","","x ")</f>
        <v/>
      </c>
      <c r="P29" s="821"/>
      <c r="Q29" s="820" t="s">
        <v>404</v>
      </c>
      <c r="R29" s="822">
        <f>데이터입력!$Y$8</f>
        <v>12</v>
      </c>
      <c r="S29" s="820"/>
      <c r="T29" s="820" t="s">
        <v>405</v>
      </c>
      <c r="U29" s="820"/>
      <c r="V29" s="823" t="e">
        <f>Z28</f>
        <v>#REF!</v>
      </c>
      <c r="W29" s="825"/>
      <c r="X29" s="825"/>
      <c r="Y29" s="825"/>
      <c r="Z29" s="100"/>
      <c r="AA29" s="100"/>
      <c r="AB29" s="100"/>
    </row>
    <row r="30" spans="1:28">
      <c r="A30" s="117"/>
      <c r="B30" s="117"/>
      <c r="C30" s="117"/>
      <c r="D30" s="117"/>
      <c r="E30" s="117"/>
      <c r="F30" s="846"/>
      <c r="G30" s="847"/>
      <c r="H30" s="848"/>
      <c r="I30" s="848"/>
      <c r="J30" s="848"/>
      <c r="K30" s="850"/>
      <c r="L30" s="126" t="e">
        <f>IF(N29=0,"",IF(데이터입력!$Y$28=1,"     ( "&amp;#REF!&amp;" )",IF(데이터입력!$Y$28&lt;=0,"","     ( "&amp;#REF!&amp;" 외 "&amp;데이터입력!$Y$28-1&amp;" 명 )")))</f>
        <v>#REF!</v>
      </c>
      <c r="M30" s="210"/>
      <c r="N30" s="819"/>
      <c r="O30" s="820"/>
      <c r="P30" s="821"/>
      <c r="Q30" s="820"/>
      <c r="R30" s="822"/>
      <c r="S30" s="820"/>
      <c r="T30" s="820"/>
      <c r="U30" s="820"/>
      <c r="V30" s="823"/>
      <c r="W30" s="825"/>
      <c r="X30" s="825"/>
      <c r="Y30" s="825"/>
      <c r="Z30" s="100"/>
      <c r="AA30" s="100"/>
      <c r="AB30" s="100"/>
    </row>
    <row r="31" spans="1:28">
      <c r="A31" s="117"/>
      <c r="B31" s="117"/>
      <c r="C31" s="117"/>
      <c r="D31" s="117"/>
      <c r="E31" s="117"/>
      <c r="F31" s="1286" t="s">
        <v>418</v>
      </c>
      <c r="G31" s="1287" t="s">
        <v>381</v>
      </c>
      <c r="H31" s="1288">
        <f>IFERROR(IF(VLOOKUP(K31,데이터입력!$C$42:$L$137,5,FALSE)&lt;1000,ROUNDUP(VLOOKUP(K31,데이터입력!$C$42:$L$137,5,FALSE)*1/1000,0),ROUND(VLOOKUP(K31,데이터입력!$C$42:$L$137,5,FALSE)*1/1000,0)),0)</f>
        <v>0</v>
      </c>
      <c r="I31" s="1288">
        <f t="shared" ref="I31:I33" si="6">IFERROR(IF(F31="06",IF(V31&lt;1000,ROUNDUP((V31)*1/1000,0),ROUND((V31)*1/1000,0)),IF(F31="07",IF(W31&lt;1000,ROUNDUP((W31)*1/1000,0),ROUND((W31)*1/1000,0)),IF(F31="05",IF(X31&lt;1000,ROUNDUP((X31)*1/1000,0),ROUND((X31)*1/1000,0))))),0)</f>
        <v>0</v>
      </c>
      <c r="J31" s="1289">
        <f>I31-H31</f>
        <v>0</v>
      </c>
      <c r="K31" s="1290" t="str">
        <f>L31&amp;"("&amp;G31&amp;")"</f>
        <v>각종수당(간접비)(보조금)</v>
      </c>
      <c r="L31" s="1291" t="str">
        <f>L28</f>
        <v>각종수당(간접비)</v>
      </c>
      <c r="M31" s="1292"/>
      <c r="N31" s="1293" t="str">
        <f>IF(AA28=0,"",ROUND(AA28/R31,0))</f>
        <v/>
      </c>
      <c r="O31" s="1294" t="str">
        <f>IF(P31="","","x ")</f>
        <v/>
      </c>
      <c r="P31" s="1295"/>
      <c r="Q31" s="1296" t="str">
        <f>IF(AA28=0,"","x")</f>
        <v/>
      </c>
      <c r="R31" s="1297" t="str">
        <f>IF(AA28=0,"",데이터입력!$Y$8)</f>
        <v/>
      </c>
      <c r="S31" s="1296"/>
      <c r="T31" s="1296" t="s">
        <v>405</v>
      </c>
      <c r="U31" s="1298"/>
      <c r="V31" s="1299"/>
      <c r="W31" s="1300">
        <f>AA28</f>
        <v>0</v>
      </c>
      <c r="X31" s="1300"/>
      <c r="Y31" s="1300"/>
      <c r="Z31" s="100"/>
      <c r="AA31" s="100"/>
      <c r="AB31" s="100"/>
    </row>
    <row r="32" spans="1:28">
      <c r="A32" s="117"/>
      <c r="B32" s="117"/>
      <c r="C32" s="117"/>
      <c r="D32" s="117"/>
      <c r="E32" s="117"/>
      <c r="F32" s="846"/>
      <c r="G32" s="847"/>
      <c r="H32" s="848"/>
      <c r="I32" s="848"/>
      <c r="J32" s="848"/>
      <c r="K32" s="850"/>
      <c r="L32" s="1305" t="e">
        <f>IF(N31=0,"",IF(데이터입력!$Y$28=1,"     ( "&amp;#REF!&amp;" )",IF(데이터입력!$Y$28&lt;=0,"","     ( "&amp;#REF!&amp;" 외 "&amp;데이터입력!$Y$28-1&amp;" 명 )")))</f>
        <v>#REF!</v>
      </c>
      <c r="M32" s="210"/>
      <c r="N32" s="819"/>
      <c r="O32" s="820"/>
      <c r="P32" s="821"/>
      <c r="Q32" s="820"/>
      <c r="R32" s="822"/>
      <c r="S32" s="820"/>
      <c r="T32" s="820"/>
      <c r="U32" s="820"/>
      <c r="V32" s="823"/>
      <c r="W32" s="825"/>
      <c r="X32" s="825"/>
      <c r="Y32" s="825"/>
      <c r="Z32" s="100"/>
      <c r="AA32" s="100"/>
      <c r="AB32" s="100"/>
    </row>
    <row r="33" spans="1:28">
      <c r="A33" s="117"/>
      <c r="B33" s="117"/>
      <c r="C33" s="117"/>
      <c r="D33" s="133"/>
      <c r="E33" s="133"/>
      <c r="F33" s="862" t="s">
        <v>85</v>
      </c>
      <c r="G33" s="863" t="s">
        <v>19</v>
      </c>
      <c r="H33" s="864">
        <f>IFERROR(IF(VLOOKUP(K33,데이터입력!$C$42:$L$137,5,FALSE)&lt;1000,ROUNDUP(VLOOKUP(K33,데이터입력!$C$42:$L$137,5,FALSE)*1/1000,0),ROUND(VLOOKUP(K33,데이터입력!$C$42:$L$137,5,FALSE)*1/1000,0)),0)</f>
        <v>0</v>
      </c>
      <c r="I33" s="864">
        <f t="shared" si="6"/>
        <v>0</v>
      </c>
      <c r="J33" s="865">
        <f>I33-H33</f>
        <v>0</v>
      </c>
      <c r="K33" s="232" t="str">
        <f t="shared" ref="K33" si="7">L33&amp;"("&amp;G33&amp;")"</f>
        <v>각종수당(간접비)(후원금)</v>
      </c>
      <c r="L33" s="241" t="str">
        <f>L28</f>
        <v>각종수당(간접비)</v>
      </c>
      <c r="M33" s="242"/>
      <c r="N33" s="866"/>
      <c r="O33" s="867"/>
      <c r="P33" s="868"/>
      <c r="Q33" s="867"/>
      <c r="R33" s="869"/>
      <c r="S33" s="867"/>
      <c r="T33" s="867" t="s">
        <v>405</v>
      </c>
      <c r="U33" s="870"/>
      <c r="V33" s="871"/>
      <c r="W33" s="872"/>
      <c r="X33" s="871">
        <f>AB28</f>
        <v>0</v>
      </c>
      <c r="Y33" s="871"/>
      <c r="Z33" s="100"/>
      <c r="AA33" s="100"/>
      <c r="AB33" s="100"/>
    </row>
    <row r="34" spans="1:28" s="248" customFormat="1">
      <c r="A34" s="117"/>
      <c r="B34" s="117"/>
      <c r="C34" s="105" t="s">
        <v>432</v>
      </c>
      <c r="D34" s="148"/>
      <c r="E34" s="148"/>
      <c r="F34" s="833"/>
      <c r="G34" s="834"/>
      <c r="H34" s="835">
        <f>SUM(H35:H44)</f>
        <v>0</v>
      </c>
      <c r="I34" s="835">
        <f t="shared" ref="I34" si="8">SUM(I35:I44)</f>
        <v>0</v>
      </c>
      <c r="J34" s="835">
        <f t="shared" ref="J34" si="9">SUM(J35:J44)</f>
        <v>0</v>
      </c>
      <c r="K34" s="835"/>
      <c r="L34" s="238"/>
      <c r="M34" s="238"/>
      <c r="N34" s="836"/>
      <c r="O34" s="837"/>
      <c r="P34" s="836"/>
      <c r="Q34" s="837"/>
      <c r="R34" s="836"/>
      <c r="S34" s="837"/>
      <c r="T34" s="837"/>
      <c r="U34" s="837"/>
      <c r="V34" s="838" t="e">
        <f>SUM(V35,V40)</f>
        <v>#REF!</v>
      </c>
      <c r="W34" s="838">
        <f>SUM(W35,W40)</f>
        <v>0</v>
      </c>
      <c r="X34" s="838">
        <f>SUM(X35,X40)</f>
        <v>0</v>
      </c>
      <c r="Y34" s="838" t="e">
        <f>SUM(V34:X34)</f>
        <v>#REF!</v>
      </c>
      <c r="Z34" s="100"/>
      <c r="AA34" s="100"/>
      <c r="AB34" s="100"/>
    </row>
    <row r="35" spans="1:28">
      <c r="A35" s="117"/>
      <c r="B35" s="117"/>
      <c r="C35" s="132"/>
      <c r="D35" s="107" t="s">
        <v>44</v>
      </c>
      <c r="E35" s="107">
        <v>501010301</v>
      </c>
      <c r="F35" s="839" t="s">
        <v>83</v>
      </c>
      <c r="G35" s="840" t="s">
        <v>6</v>
      </c>
      <c r="H35" s="841">
        <f>IFERROR(IF(VLOOKUP(K35,데이터입력!$C$42:$L$137,5,FALSE)&lt;1000,ROUNDUP(VLOOKUP(K35,데이터입력!$C$42:$L$137,5,FALSE)*1/1000,0),ROUND(VLOOKUP(K35,데이터입력!$C$42:$L$137,5,FALSE)*1/1000,0)),0)</f>
        <v>0</v>
      </c>
      <c r="I35" s="841">
        <f>IFERROR(IF(F35="06",IF(V35&lt;1000,ROUNDUP((V35)*1/1000,0),ROUND((V35)*1/1000,0)),IF(F35="07",IF(W35&lt;1000,ROUNDUP((W35)*1/1000,0),ROUND((W35)*1/1000,0)),IF(F35="05",IF(X35&lt;1000,ROUNDUP((X35)*1/1000,0),ROUND((X35)*1/1000,0))))),0)</f>
        <v>0</v>
      </c>
      <c r="J35" s="841">
        <f>I35-H35</f>
        <v>0</v>
      </c>
      <c r="K35" s="842" t="str">
        <f>L35&amp;"("&amp;G35&amp;")"</f>
        <v>일용잡급(직접비)(수익사업)</v>
      </c>
      <c r="L35" s="111" t="str">
        <f>D35</f>
        <v>일용잡급(직접비)</v>
      </c>
      <c r="M35" s="112"/>
      <c r="N35" s="843"/>
      <c r="O35" s="844"/>
      <c r="P35" s="843"/>
      <c r="Q35" s="844"/>
      <c r="R35" s="843"/>
      <c r="S35" s="844"/>
      <c r="T35" s="844"/>
      <c r="U35" s="844"/>
      <c r="V35" s="845" t="e">
        <f>SUM(V36:V39)</f>
        <v>#REF!</v>
      </c>
      <c r="W35" s="845">
        <f>SUM(W36:W39)</f>
        <v>0</v>
      </c>
      <c r="X35" s="845">
        <f>SUM(X36:X39)</f>
        <v>0</v>
      </c>
      <c r="Y35" s="845" t="e">
        <f>SUM(V35:X35)</f>
        <v>#REF!</v>
      </c>
      <c r="Z35" s="154" t="e">
        <f>ROUND(#REF!-AA35-AB35,-3)</f>
        <v>#REF!</v>
      </c>
      <c r="AA35" s="154">
        <f>데이터입력!$T$107</f>
        <v>0</v>
      </c>
      <c r="AB35" s="150">
        <f>데이터입력!T137</f>
        <v>0</v>
      </c>
    </row>
    <row r="36" spans="1:28">
      <c r="A36" s="117"/>
      <c r="B36" s="117"/>
      <c r="C36" s="117"/>
      <c r="D36" s="117"/>
      <c r="E36" s="117"/>
      <c r="F36" s="846"/>
      <c r="G36" s="847"/>
      <c r="H36" s="848"/>
      <c r="I36" s="848"/>
      <c r="J36" s="848"/>
      <c r="K36" s="849"/>
      <c r="L36" s="126" t="str">
        <f>"  - "&amp;L35</f>
        <v xml:space="preserve">  - 일용잡급(직접비)</v>
      </c>
      <c r="M36" s="210"/>
      <c r="N36" s="819" t="e">
        <f>IF(R36="",Z35,ROUND(Z35/R36,0))</f>
        <v>#REF!</v>
      </c>
      <c r="O36" s="120" t="str">
        <f>IF(P36="","","x ")</f>
        <v/>
      </c>
      <c r="P36" s="821"/>
      <c r="Q36" s="820" t="s">
        <v>404</v>
      </c>
      <c r="R36" s="822">
        <f>데이터입력!$Y$8</f>
        <v>12</v>
      </c>
      <c r="S36" s="820"/>
      <c r="T36" s="820" t="s">
        <v>405</v>
      </c>
      <c r="U36" s="820"/>
      <c r="V36" s="823" t="e">
        <f>Z35</f>
        <v>#REF!</v>
      </c>
      <c r="W36" s="825"/>
      <c r="X36" s="825"/>
      <c r="Y36" s="825"/>
      <c r="Z36" s="100"/>
      <c r="AA36" s="100"/>
      <c r="AB36" s="100"/>
    </row>
    <row r="37" spans="1:28">
      <c r="A37" s="117"/>
      <c r="B37" s="117"/>
      <c r="C37" s="117"/>
      <c r="D37" s="117"/>
      <c r="E37" s="117"/>
      <c r="F37" s="846"/>
      <c r="G37" s="847"/>
      <c r="H37" s="848"/>
      <c r="I37" s="848"/>
      <c r="J37" s="848"/>
      <c r="K37" s="850"/>
      <c r="L37" s="126"/>
      <c r="M37" s="210"/>
      <c r="N37" s="819"/>
      <c r="O37" s="820"/>
      <c r="P37" s="821"/>
      <c r="Q37" s="820"/>
      <c r="R37" s="822"/>
      <c r="S37" s="820"/>
      <c r="T37" s="820"/>
      <c r="U37" s="820"/>
      <c r="V37" s="823"/>
      <c r="W37" s="825"/>
      <c r="X37" s="825"/>
      <c r="Y37" s="825"/>
      <c r="Z37" s="100"/>
      <c r="AA37" s="100"/>
      <c r="AB37" s="100"/>
    </row>
    <row r="38" spans="1:28">
      <c r="A38" s="117"/>
      <c r="B38" s="117"/>
      <c r="C38" s="117"/>
      <c r="D38" s="117"/>
      <c r="E38" s="117"/>
      <c r="F38" s="851" t="s">
        <v>418</v>
      </c>
      <c r="G38" s="852" t="s">
        <v>381</v>
      </c>
      <c r="H38" s="853">
        <f>IFERROR(IF(VLOOKUP(K38,데이터입력!$C$42:$L$137,5,FALSE)&lt;1000,ROUNDUP(VLOOKUP(K38,데이터입력!$C$42:$L$137,5,FALSE)*1/1000,0),ROUND(VLOOKUP(K38,데이터입력!$C$42:$L$137,5,FALSE)*1/1000,0)),0)</f>
        <v>0</v>
      </c>
      <c r="I38" s="853">
        <f t="shared" ref="I38:I39" si="10">IFERROR(IF(F38="06",IF(V38&lt;1000,ROUNDUP((V38)*1/1000,0),ROUND((V38)*1/1000,0)),IF(F38="07",IF(W38&lt;1000,ROUNDUP((W38)*1/1000,0),ROUND((W38)*1/1000,0)),IF(F38="05",IF(X38&lt;1000,ROUNDUP((X38)*1/1000,0),ROUND((X38)*1/1000,0))))),0)</f>
        <v>0</v>
      </c>
      <c r="J38" s="854">
        <f>I38-H38</f>
        <v>0</v>
      </c>
      <c r="K38" s="231" t="str">
        <f>L38&amp;"("&amp;G38&amp;")"</f>
        <v>일용잡급(직접비)(보조금)</v>
      </c>
      <c r="L38" s="239" t="str">
        <f>L35</f>
        <v>일용잡급(직접비)</v>
      </c>
      <c r="M38" s="240"/>
      <c r="N38" s="855"/>
      <c r="O38" s="856"/>
      <c r="P38" s="857"/>
      <c r="Q38" s="856"/>
      <c r="R38" s="858"/>
      <c r="S38" s="856"/>
      <c r="T38" s="856" t="s">
        <v>405</v>
      </c>
      <c r="U38" s="859"/>
      <c r="V38" s="860"/>
      <c r="W38" s="861">
        <f>AA35</f>
        <v>0</v>
      </c>
      <c r="X38" s="861"/>
      <c r="Y38" s="861"/>
      <c r="Z38" s="100"/>
      <c r="AA38" s="100"/>
      <c r="AB38" s="100"/>
    </row>
    <row r="39" spans="1:28">
      <c r="A39" s="117"/>
      <c r="B39" s="117"/>
      <c r="C39" s="117"/>
      <c r="D39" s="133"/>
      <c r="E39" s="133"/>
      <c r="F39" s="862" t="s">
        <v>85</v>
      </c>
      <c r="G39" s="863" t="s">
        <v>19</v>
      </c>
      <c r="H39" s="864">
        <f>IFERROR(IF(VLOOKUP(K39,데이터입력!$C$42:$L$137,5,FALSE)&lt;1000,ROUNDUP(VLOOKUP(K39,데이터입력!$C$42:$L$137,5,FALSE)*1/1000,0),ROUND(VLOOKUP(K39,데이터입력!$C$42:$L$137,5,FALSE)*1/1000,0)),0)</f>
        <v>0</v>
      </c>
      <c r="I39" s="864">
        <f t="shared" si="10"/>
        <v>0</v>
      </c>
      <c r="J39" s="865">
        <f>I39-H39</f>
        <v>0</v>
      </c>
      <c r="K39" s="232" t="str">
        <f t="shared" ref="K39" si="11">L39&amp;"("&amp;G39&amp;")"</f>
        <v>일용잡급(직접비)(후원금)</v>
      </c>
      <c r="L39" s="241" t="str">
        <f>L35</f>
        <v>일용잡급(직접비)</v>
      </c>
      <c r="M39" s="242"/>
      <c r="N39" s="866"/>
      <c r="O39" s="867"/>
      <c r="P39" s="868"/>
      <c r="Q39" s="867"/>
      <c r="R39" s="869"/>
      <c r="S39" s="867"/>
      <c r="T39" s="867" t="s">
        <v>405</v>
      </c>
      <c r="U39" s="870"/>
      <c r="V39" s="871"/>
      <c r="W39" s="872"/>
      <c r="X39" s="871">
        <f>AB35</f>
        <v>0</v>
      </c>
      <c r="Y39" s="871"/>
      <c r="Z39" s="100"/>
      <c r="AA39" s="100"/>
      <c r="AB39" s="100"/>
    </row>
    <row r="40" spans="1:28">
      <c r="A40" s="117"/>
      <c r="B40" s="117"/>
      <c r="C40" s="117"/>
      <c r="D40" s="107" t="s">
        <v>45</v>
      </c>
      <c r="E40" s="107">
        <v>501010302</v>
      </c>
      <c r="F40" s="839" t="s">
        <v>83</v>
      </c>
      <c r="G40" s="840" t="s">
        <v>6</v>
      </c>
      <c r="H40" s="841">
        <f>IFERROR(IF(VLOOKUP(K40,데이터입력!$C$42:$L$137,5,FALSE)&lt;1000,ROUNDUP(VLOOKUP(K40,데이터입력!$C$42:$L$137,5,FALSE)*1/1000,0),ROUND(VLOOKUP(K40,데이터입력!$C$42:$L$137,5,FALSE)*1/1000,0)),0)</f>
        <v>0</v>
      </c>
      <c r="I40" s="841">
        <f>IFERROR(IF(F40="06",IF(V40&lt;1000,ROUNDUP((V40)*1/1000,0),ROUND((V40)*1/1000,0)),IF(F40="07",IF(W40&lt;1000,ROUNDUP((W40)*1/1000,0),ROUND((W40)*1/1000,0)),IF(F40="05",IF(X40&lt;1000,ROUNDUP((X40)*1/1000,0),ROUND((X40)*1/1000,0))))),0)</f>
        <v>0</v>
      </c>
      <c r="J40" s="841">
        <f>I40-H40</f>
        <v>0</v>
      </c>
      <c r="K40" s="842" t="str">
        <f>L40&amp;"("&amp;G40&amp;")"</f>
        <v>일용잡급(간접비)(수익사업)</v>
      </c>
      <c r="L40" s="111" t="str">
        <f>D40</f>
        <v>일용잡급(간접비)</v>
      </c>
      <c r="M40" s="112"/>
      <c r="N40" s="843"/>
      <c r="O40" s="844"/>
      <c r="P40" s="843"/>
      <c r="Q40" s="844"/>
      <c r="R40" s="843"/>
      <c r="S40" s="844"/>
      <c r="T40" s="844"/>
      <c r="U40" s="844"/>
      <c r="V40" s="845" t="e">
        <f>SUM(V41:V44)</f>
        <v>#REF!</v>
      </c>
      <c r="W40" s="845">
        <f>SUM(W41:W44)</f>
        <v>0</v>
      </c>
      <c r="X40" s="845">
        <f>SUM(X41:X44)</f>
        <v>0</v>
      </c>
      <c r="Y40" s="845" t="e">
        <f>SUM(V40:X40)</f>
        <v>#REF!</v>
      </c>
      <c r="Z40" s="154" t="e">
        <f>ROUND(#REF!-AA40-AB40,-3)</f>
        <v>#REF!</v>
      </c>
      <c r="AA40" s="154">
        <f>데이터입력!$T$108</f>
        <v>0</v>
      </c>
      <c r="AB40" s="150">
        <f>데이터입력!$T$138</f>
        <v>0</v>
      </c>
    </row>
    <row r="41" spans="1:28">
      <c r="A41" s="117"/>
      <c r="B41" s="117"/>
      <c r="C41" s="117"/>
      <c r="D41" s="117"/>
      <c r="E41" s="117"/>
      <c r="F41" s="846"/>
      <c r="G41" s="847"/>
      <c r="H41" s="848"/>
      <c r="I41" s="848"/>
      <c r="J41" s="848"/>
      <c r="K41" s="849"/>
      <c r="L41" s="126" t="str">
        <f>"  - "&amp;L40</f>
        <v xml:space="preserve">  - 일용잡급(간접비)</v>
      </c>
      <c r="M41" s="210"/>
      <c r="N41" s="819" t="e">
        <f>IF(R41="",Z40,ROUND(Z40/R41,0))</f>
        <v>#REF!</v>
      </c>
      <c r="O41" s="120" t="str">
        <f>IF(P41="","","x ")</f>
        <v/>
      </c>
      <c r="P41" s="821"/>
      <c r="Q41" s="820" t="s">
        <v>404</v>
      </c>
      <c r="R41" s="822">
        <f>데이터입력!$Y$8</f>
        <v>12</v>
      </c>
      <c r="S41" s="820"/>
      <c r="T41" s="820" t="s">
        <v>405</v>
      </c>
      <c r="U41" s="820"/>
      <c r="V41" s="823" t="e">
        <f>Z40</f>
        <v>#REF!</v>
      </c>
      <c r="W41" s="825"/>
      <c r="X41" s="825"/>
      <c r="Y41" s="825"/>
      <c r="Z41" s="100"/>
      <c r="AA41" s="100"/>
      <c r="AB41" s="100"/>
    </row>
    <row r="42" spans="1:28">
      <c r="A42" s="117"/>
      <c r="B42" s="117"/>
      <c r="C42" s="117"/>
      <c r="D42" s="117"/>
      <c r="E42" s="117"/>
      <c r="F42" s="846"/>
      <c r="G42" s="847"/>
      <c r="H42" s="848"/>
      <c r="I42" s="848"/>
      <c r="J42" s="848"/>
      <c r="K42" s="850"/>
      <c r="L42" s="126"/>
      <c r="M42" s="210"/>
      <c r="N42" s="819"/>
      <c r="O42" s="820"/>
      <c r="P42" s="821"/>
      <c r="Q42" s="820"/>
      <c r="R42" s="822"/>
      <c r="S42" s="820"/>
      <c r="T42" s="820"/>
      <c r="U42" s="820"/>
      <c r="V42" s="823"/>
      <c r="W42" s="825"/>
      <c r="X42" s="825"/>
      <c r="Y42" s="825"/>
      <c r="Z42" s="100"/>
      <c r="AA42" s="100"/>
      <c r="AB42" s="100"/>
    </row>
    <row r="43" spans="1:28">
      <c r="A43" s="117"/>
      <c r="B43" s="117"/>
      <c r="C43" s="117"/>
      <c r="D43" s="117"/>
      <c r="E43" s="117"/>
      <c r="F43" s="851" t="s">
        <v>418</v>
      </c>
      <c r="G43" s="852" t="s">
        <v>381</v>
      </c>
      <c r="H43" s="853">
        <f>IFERROR(IF(VLOOKUP(K43,데이터입력!$C$42:$L$137,5,FALSE)&lt;1000,ROUNDUP(VLOOKUP(K43,데이터입력!$C$42:$L$137,5,FALSE)*1/1000,0),ROUND(VLOOKUP(K43,데이터입력!$C$42:$L$137,5,FALSE)*1/1000,0)),0)</f>
        <v>0</v>
      </c>
      <c r="I43" s="853">
        <f t="shared" ref="I43:I44" si="12">IFERROR(IF(F43="06",IF(V43&lt;1000,ROUNDUP((V43)*1/1000,0),ROUND((V43)*1/1000,0)),IF(F43="07",IF(W43&lt;1000,ROUNDUP((W43)*1/1000,0),ROUND((W43)*1/1000,0)),IF(F43="05",IF(X43&lt;1000,ROUNDUP((X43)*1/1000,0),ROUND((X43)*1/1000,0))))),0)</f>
        <v>0</v>
      </c>
      <c r="J43" s="854">
        <f>I43-H43</f>
        <v>0</v>
      </c>
      <c r="K43" s="231" t="str">
        <f>L43&amp;"("&amp;G43&amp;")"</f>
        <v>일용잡급(간접비)(보조금)</v>
      </c>
      <c r="L43" s="239" t="str">
        <f>L40</f>
        <v>일용잡급(간접비)</v>
      </c>
      <c r="M43" s="240"/>
      <c r="N43" s="855"/>
      <c r="O43" s="856"/>
      <c r="P43" s="857"/>
      <c r="Q43" s="856"/>
      <c r="R43" s="858"/>
      <c r="S43" s="856"/>
      <c r="T43" s="856" t="s">
        <v>405</v>
      </c>
      <c r="U43" s="859"/>
      <c r="V43" s="860"/>
      <c r="W43" s="861">
        <f>AA40</f>
        <v>0</v>
      </c>
      <c r="X43" s="861"/>
      <c r="Y43" s="861"/>
      <c r="Z43" s="100"/>
      <c r="AA43" s="100"/>
      <c r="AB43" s="100"/>
    </row>
    <row r="44" spans="1:28">
      <c r="A44" s="117"/>
      <c r="B44" s="117"/>
      <c r="C44" s="117"/>
      <c r="D44" s="133"/>
      <c r="E44" s="133"/>
      <c r="F44" s="862" t="s">
        <v>85</v>
      </c>
      <c r="G44" s="863" t="s">
        <v>19</v>
      </c>
      <c r="H44" s="864">
        <f>IFERROR(IF(VLOOKUP(K44,데이터입력!$C$42:$L$137,5,FALSE)&lt;1000,ROUNDUP(VLOOKUP(K44,데이터입력!$C$42:$L$137,5,FALSE)*1/1000,0),ROUND(VLOOKUP(K44,데이터입력!$C$42:$L$137,5,FALSE)*1/1000,0)),0)</f>
        <v>0</v>
      </c>
      <c r="I44" s="864">
        <f t="shared" si="12"/>
        <v>0</v>
      </c>
      <c r="J44" s="865">
        <f>I44-H44</f>
        <v>0</v>
      </c>
      <c r="K44" s="232" t="str">
        <f t="shared" ref="K44" si="13">L44&amp;"("&amp;G44&amp;")"</f>
        <v>일용잡급(간접비)(후원금)</v>
      </c>
      <c r="L44" s="241" t="str">
        <f>L40</f>
        <v>일용잡급(간접비)</v>
      </c>
      <c r="M44" s="242"/>
      <c r="N44" s="866"/>
      <c r="O44" s="867"/>
      <c r="P44" s="868"/>
      <c r="Q44" s="867"/>
      <c r="R44" s="869"/>
      <c r="S44" s="867"/>
      <c r="T44" s="867" t="s">
        <v>405</v>
      </c>
      <c r="U44" s="870"/>
      <c r="V44" s="871"/>
      <c r="W44" s="872"/>
      <c r="X44" s="871">
        <f>AB40</f>
        <v>0</v>
      </c>
      <c r="Y44" s="871"/>
      <c r="Z44" s="100"/>
      <c r="AA44" s="100"/>
      <c r="AB44" s="100"/>
    </row>
    <row r="45" spans="1:28" s="248" customFormat="1">
      <c r="A45" s="117"/>
      <c r="B45" s="117"/>
      <c r="C45" s="1668" t="s">
        <v>433</v>
      </c>
      <c r="D45" s="1669"/>
      <c r="E45" s="148"/>
      <c r="F45" s="833"/>
      <c r="G45" s="834"/>
      <c r="H45" s="835">
        <f>SUM(H46:H55)</f>
        <v>80978</v>
      </c>
      <c r="I45" s="835">
        <f t="shared" ref="I45" si="14">SUM(I46:I55)</f>
        <v>0</v>
      </c>
      <c r="J45" s="835">
        <f t="shared" ref="J45" si="15">SUM(J46:J55)</f>
        <v>-80978</v>
      </c>
      <c r="K45" s="835"/>
      <c r="L45" s="238"/>
      <c r="M45" s="238"/>
      <c r="N45" s="836"/>
      <c r="O45" s="837"/>
      <c r="P45" s="836"/>
      <c r="Q45" s="837"/>
      <c r="R45" s="836"/>
      <c r="S45" s="837"/>
      <c r="T45" s="837"/>
      <c r="U45" s="837"/>
      <c r="V45" s="838" t="e">
        <f>SUM(V46,V51)</f>
        <v>#REF!</v>
      </c>
      <c r="W45" s="838">
        <f>SUM(W46,W51)</f>
        <v>0</v>
      </c>
      <c r="X45" s="838">
        <f>SUM(X46,X51)</f>
        <v>0</v>
      </c>
      <c r="Y45" s="838" t="e">
        <f>SUM(V45:X45)</f>
        <v>#REF!</v>
      </c>
      <c r="Z45" s="100"/>
      <c r="AA45" s="100"/>
      <c r="AB45" s="100"/>
    </row>
    <row r="46" spans="1:28" ht="24">
      <c r="A46" s="117"/>
      <c r="B46" s="117"/>
      <c r="C46" s="132"/>
      <c r="D46" s="107" t="s">
        <v>46</v>
      </c>
      <c r="E46" s="107">
        <v>501010501</v>
      </c>
      <c r="F46" s="839" t="s">
        <v>83</v>
      </c>
      <c r="G46" s="840" t="s">
        <v>6</v>
      </c>
      <c r="H46" s="841">
        <f>IFERROR(IF(VLOOKUP(K46,데이터입력!$C$42:$L$137,5,FALSE)&lt;1000,ROUNDUP(VLOOKUP(K46,데이터입력!$C$42:$L$137,5,FALSE)*1/1000,0),ROUND(VLOOKUP(K46,데이터입력!$C$42:$L$137,5,FALSE)*1/1000,0)),0)</f>
        <v>80978</v>
      </c>
      <c r="I46" s="841">
        <f>IFERROR(IF(F46="06",IF(V46&lt;1000,ROUNDUP((V46)*1/1000,0),ROUND((V46)*1/1000,0)),IF(F46="07",IF(W46&lt;1000,ROUNDUP((W46)*1/1000,0),ROUND((W46)*1/1000,0)),IF(F46="05",IF(X46&lt;1000,ROUNDUP((X46)*1/1000,0),ROUND((X46)*1/1000,0))))),0)</f>
        <v>0</v>
      </c>
      <c r="J46" s="841">
        <f>I46-H46</f>
        <v>-80978</v>
      </c>
      <c r="K46" s="842" t="str">
        <f>L46&amp;"("&amp;G46&amp;")"</f>
        <v>퇴직금 및 퇴직적립금(직접비)(수익사업)</v>
      </c>
      <c r="L46" s="111" t="str">
        <f>D46</f>
        <v>퇴직금 및 퇴직적립금(직접비)</v>
      </c>
      <c r="M46" s="112"/>
      <c r="N46" s="843"/>
      <c r="O46" s="844"/>
      <c r="P46" s="843"/>
      <c r="Q46" s="844"/>
      <c r="R46" s="843"/>
      <c r="S46" s="844"/>
      <c r="T46" s="844"/>
      <c r="U46" s="844"/>
      <c r="V46" s="845" t="e">
        <f>SUM(V47:V50)</f>
        <v>#REF!</v>
      </c>
      <c r="W46" s="845">
        <f>SUM(W47:W50)</f>
        <v>0</v>
      </c>
      <c r="X46" s="845">
        <f>SUM(X47:X50)</f>
        <v>0</v>
      </c>
      <c r="Y46" s="845" t="e">
        <f>SUM(V46:X46)</f>
        <v>#REF!</v>
      </c>
      <c r="Z46" s="154" t="e">
        <f>ROUND(#REF!-AA46-AB46,-3)</f>
        <v>#REF!</v>
      </c>
      <c r="AA46" s="154">
        <f>데이터입력!$T$109</f>
        <v>0</v>
      </c>
      <c r="AB46" s="150">
        <f>데이터입력!$T$139</f>
        <v>0</v>
      </c>
    </row>
    <row r="47" spans="1:28">
      <c r="A47" s="117"/>
      <c r="B47" s="117"/>
      <c r="C47" s="117"/>
      <c r="D47" s="117"/>
      <c r="E47" s="117"/>
      <c r="F47" s="846"/>
      <c r="G47" s="847"/>
      <c r="H47" s="848"/>
      <c r="I47" s="848"/>
      <c r="J47" s="848"/>
      <c r="K47" s="849"/>
      <c r="L47" s="126" t="str">
        <f>"  - "&amp;L46</f>
        <v xml:space="preserve">  - 퇴직금 및 퇴직적립금(직접비)</v>
      </c>
      <c r="M47" s="210"/>
      <c r="N47" s="819" t="e">
        <f>IF(R47="",Z46,ROUND(Z46/R47,0))</f>
        <v>#REF!</v>
      </c>
      <c r="O47" s="120" t="str">
        <f>IF(P47="","","x ")</f>
        <v/>
      </c>
      <c r="P47" s="821"/>
      <c r="Q47" s="820" t="s">
        <v>404</v>
      </c>
      <c r="R47" s="822">
        <f>데이터입력!$Y$8</f>
        <v>12</v>
      </c>
      <c r="S47" s="820"/>
      <c r="T47" s="820" t="s">
        <v>405</v>
      </c>
      <c r="U47" s="820"/>
      <c r="V47" s="823" t="e">
        <f>Z46</f>
        <v>#REF!</v>
      </c>
      <c r="W47" s="825"/>
      <c r="X47" s="825"/>
      <c r="Y47" s="825"/>
      <c r="Z47" s="100"/>
      <c r="AA47" s="100"/>
      <c r="AB47" s="100"/>
    </row>
    <row r="48" spans="1:28">
      <c r="A48" s="117"/>
      <c r="B48" s="117"/>
      <c r="C48" s="117"/>
      <c r="D48" s="117"/>
      <c r="E48" s="117"/>
      <c r="F48" s="846"/>
      <c r="G48" s="847"/>
      <c r="H48" s="848"/>
      <c r="I48" s="848"/>
      <c r="J48" s="848"/>
      <c r="K48" s="850"/>
      <c r="L48" s="126" t="e">
        <f>IF(데이터입력!$BC$63=1,"     ( "&amp;#REF!&amp;" )",IF(데이터입력!$Y$27&lt;=0,"","     ( "&amp;IF(#REF!=0,#REF!,#REF!)&amp;" 외 "&amp;데이터입력!$BC$63-1&amp;" 명 )"))</f>
        <v>#REF!</v>
      </c>
      <c r="M48" s="210"/>
      <c r="N48" s="819"/>
      <c r="O48" s="820"/>
      <c r="P48" s="821"/>
      <c r="Q48" s="820"/>
      <c r="R48" s="822"/>
      <c r="S48" s="820"/>
      <c r="T48" s="820"/>
      <c r="U48" s="820"/>
      <c r="V48" s="823"/>
      <c r="W48" s="825"/>
      <c r="X48" s="825"/>
      <c r="Y48" s="825"/>
      <c r="Z48" s="100"/>
      <c r="AA48" s="100"/>
      <c r="AB48" s="100"/>
    </row>
    <row r="49" spans="1:28">
      <c r="A49" s="117"/>
      <c r="B49" s="117"/>
      <c r="C49" s="117"/>
      <c r="D49" s="117"/>
      <c r="E49" s="117"/>
      <c r="F49" s="851" t="s">
        <v>418</v>
      </c>
      <c r="G49" s="852" t="s">
        <v>381</v>
      </c>
      <c r="H49" s="853">
        <f>IFERROR(IF(VLOOKUP(K49,데이터입력!$C$42:$L$137,5,FALSE)&lt;1000,ROUNDUP(VLOOKUP(K49,데이터입력!$C$42:$L$137,5,FALSE)*1/1000,0),ROUND(VLOOKUP(K49,데이터입력!$C$42:$L$137,5,FALSE)*1/1000,0)),0)</f>
        <v>0</v>
      </c>
      <c r="I49" s="853">
        <f t="shared" ref="I49:I50" si="16">IFERROR(IF(F49="06",IF(V49&lt;1000,ROUNDUP((V49)*1/1000,0),ROUND((V49)*1/1000,0)),IF(F49="07",IF(W49&lt;1000,ROUNDUP((W49)*1/1000,0),ROUND((W49)*1/1000,0)),IF(F49="05",IF(X49&lt;1000,ROUNDUP((X49)*1/1000,0),ROUND((X49)*1/1000,0))))),0)</f>
        <v>0</v>
      </c>
      <c r="J49" s="854">
        <f>I49-H49</f>
        <v>0</v>
      </c>
      <c r="K49" s="231" t="str">
        <f>L49&amp;"("&amp;G49&amp;")"</f>
        <v>퇴직금 및 퇴직적립금(직접비)(보조금)</v>
      </c>
      <c r="L49" s="239" t="str">
        <f>L46</f>
        <v>퇴직금 및 퇴직적립금(직접비)</v>
      </c>
      <c r="M49" s="240"/>
      <c r="N49" s="855"/>
      <c r="O49" s="856"/>
      <c r="P49" s="857"/>
      <c r="Q49" s="856"/>
      <c r="R49" s="858"/>
      <c r="S49" s="856"/>
      <c r="T49" s="856" t="s">
        <v>405</v>
      </c>
      <c r="U49" s="859"/>
      <c r="V49" s="860"/>
      <c r="W49" s="861">
        <f>AA46</f>
        <v>0</v>
      </c>
      <c r="X49" s="861"/>
      <c r="Y49" s="861"/>
      <c r="Z49" s="100"/>
    </row>
    <row r="50" spans="1:28">
      <c r="A50" s="117"/>
      <c r="B50" s="117"/>
      <c r="C50" s="117"/>
      <c r="D50" s="133"/>
      <c r="E50" s="133"/>
      <c r="F50" s="862" t="s">
        <v>85</v>
      </c>
      <c r="G50" s="863" t="s">
        <v>19</v>
      </c>
      <c r="H50" s="864">
        <f>IFERROR(IF(VLOOKUP(K50,데이터입력!$C$42:$L$137,5,FALSE)&lt;1000,ROUNDUP(VLOOKUP(K50,데이터입력!$C$42:$L$137,5,FALSE)*1/1000,0),ROUND(VLOOKUP(K50,데이터입력!$C$42:$L$137,5,FALSE)*1/1000,0)),0)</f>
        <v>0</v>
      </c>
      <c r="I50" s="864">
        <f t="shared" si="16"/>
        <v>0</v>
      </c>
      <c r="J50" s="865">
        <f>I50-H50</f>
        <v>0</v>
      </c>
      <c r="K50" s="232" t="str">
        <f t="shared" ref="K50" si="17">L50&amp;"("&amp;G50&amp;")"</f>
        <v>퇴직금 및 퇴직적립금(직접비)(후원금)</v>
      </c>
      <c r="L50" s="241" t="str">
        <f>L46</f>
        <v>퇴직금 및 퇴직적립금(직접비)</v>
      </c>
      <c r="M50" s="242"/>
      <c r="N50" s="866"/>
      <c r="O50" s="867"/>
      <c r="P50" s="868"/>
      <c r="Q50" s="867"/>
      <c r="R50" s="869"/>
      <c r="S50" s="867"/>
      <c r="T50" s="867" t="s">
        <v>405</v>
      </c>
      <c r="U50" s="870"/>
      <c r="V50" s="871"/>
      <c r="W50" s="872"/>
      <c r="X50" s="871">
        <f>AB46</f>
        <v>0</v>
      </c>
      <c r="Y50" s="871"/>
      <c r="Z50" s="100"/>
      <c r="AA50" s="100"/>
      <c r="AB50" s="100"/>
    </row>
    <row r="51" spans="1:28" ht="24">
      <c r="A51" s="117"/>
      <c r="B51" s="117"/>
      <c r="C51" s="117"/>
      <c r="D51" s="107" t="s">
        <v>47</v>
      </c>
      <c r="E51" s="107">
        <v>501010502</v>
      </c>
      <c r="F51" s="839" t="s">
        <v>83</v>
      </c>
      <c r="G51" s="840" t="s">
        <v>6</v>
      </c>
      <c r="H51" s="841">
        <f>IFERROR(IF(VLOOKUP(K51,데이터입력!$C$42:$L$137,5,FALSE)&lt;1000,ROUNDUP(VLOOKUP(K51,데이터입력!$C$42:$L$137,5,FALSE)*1/1000,0),ROUND(VLOOKUP(K51,데이터입력!$C$42:$L$137,5,FALSE)*1/1000,0)),0)</f>
        <v>0</v>
      </c>
      <c r="I51" s="841">
        <f>IFERROR(IF(F51="06",IF(V51&lt;1000,ROUNDUP((V51)*1/1000,0),ROUND((V51)*1/1000,0)),IF(F51="07",IF(W51&lt;1000,ROUNDUP((W51)*1/1000,0),ROUND((W51)*1/1000,0)),IF(F51="05",IF(X51&lt;1000,ROUNDUP((X51)*1/1000,0),ROUND((X51)*1/1000,0))))),0)</f>
        <v>0</v>
      </c>
      <c r="J51" s="841">
        <f>I51-H51</f>
        <v>0</v>
      </c>
      <c r="K51" s="842" t="str">
        <f>L51&amp;"("&amp;G51&amp;")"</f>
        <v>퇴직금 및 퇴직적립금(간접비)(수익사업)</v>
      </c>
      <c r="L51" s="111" t="str">
        <f>D51</f>
        <v>퇴직금 및 퇴직적립금(간접비)</v>
      </c>
      <c r="M51" s="112"/>
      <c r="N51" s="843"/>
      <c r="O51" s="844"/>
      <c r="P51" s="843"/>
      <c r="Q51" s="844"/>
      <c r="R51" s="843"/>
      <c r="S51" s="844"/>
      <c r="T51" s="844"/>
      <c r="U51" s="844"/>
      <c r="V51" s="845" t="e">
        <f>SUM(V52:V55)</f>
        <v>#REF!</v>
      </c>
      <c r="W51" s="845">
        <f>SUM(W52:W55)</f>
        <v>0</v>
      </c>
      <c r="X51" s="845">
        <f>SUM(X52:X55)</f>
        <v>0</v>
      </c>
      <c r="Y51" s="845" t="e">
        <f>SUM(V51:X51)</f>
        <v>#REF!</v>
      </c>
      <c r="Z51" s="154" t="e">
        <f>ROUND(#REF!-AA51-AB51,-3)</f>
        <v>#REF!</v>
      </c>
      <c r="AA51" s="154">
        <f>데이터입력!$T$110</f>
        <v>0</v>
      </c>
      <c r="AB51" s="150">
        <f>데이터입력!$T$140</f>
        <v>0</v>
      </c>
    </row>
    <row r="52" spans="1:28">
      <c r="A52" s="117"/>
      <c r="B52" s="117"/>
      <c r="C52" s="117"/>
      <c r="D52" s="117"/>
      <c r="E52" s="117"/>
      <c r="F52" s="846"/>
      <c r="G52" s="847"/>
      <c r="H52" s="848"/>
      <c r="I52" s="848"/>
      <c r="J52" s="848"/>
      <c r="K52" s="849"/>
      <c r="L52" s="126" t="str">
        <f>"  - "&amp;L51</f>
        <v xml:space="preserve">  - 퇴직금 및 퇴직적립금(간접비)</v>
      </c>
      <c r="M52" s="210"/>
      <c r="N52" s="819" t="e">
        <f>IF(R52="",Z51,ROUND(Z51/R52,0))</f>
        <v>#REF!</v>
      </c>
      <c r="O52" s="120" t="str">
        <f>IF(P52="","","x ")</f>
        <v/>
      </c>
      <c r="P52" s="821"/>
      <c r="Q52" s="820" t="s">
        <v>404</v>
      </c>
      <c r="R52" s="822">
        <f>데이터입력!$Y$8</f>
        <v>12</v>
      </c>
      <c r="S52" s="820"/>
      <c r="T52" s="820" t="s">
        <v>405</v>
      </c>
      <c r="U52" s="820"/>
      <c r="V52" s="823" t="e">
        <f>Z51</f>
        <v>#REF!</v>
      </c>
      <c r="W52" s="825"/>
      <c r="X52" s="825"/>
      <c r="Y52" s="825"/>
      <c r="Z52" s="100"/>
      <c r="AA52" s="100"/>
      <c r="AB52" s="100"/>
    </row>
    <row r="53" spans="1:28">
      <c r="A53" s="117"/>
      <c r="B53" s="117"/>
      <c r="C53" s="117"/>
      <c r="D53" s="117"/>
      <c r="E53" s="117"/>
      <c r="F53" s="846"/>
      <c r="G53" s="847"/>
      <c r="H53" s="848"/>
      <c r="I53" s="848"/>
      <c r="J53" s="848"/>
      <c r="K53" s="850"/>
      <c r="L53" s="126" t="e">
        <f>IF(데이터입력!$BC$11=1,"     ( "&amp;#REF!&amp;" )",IF(데이터입력!$Y$28&lt;=0,"","     ( "&amp;IF(#REF!=0,#REF!,#REF!)&amp;" 외 "&amp;데이터입력!$BC$11-1&amp;" 명 )"))</f>
        <v>#REF!</v>
      </c>
      <c r="M53" s="210"/>
      <c r="N53" s="819"/>
      <c r="O53" s="820"/>
      <c r="P53" s="821"/>
      <c r="Q53" s="820"/>
      <c r="R53" s="822"/>
      <c r="S53" s="820"/>
      <c r="T53" s="820"/>
      <c r="U53" s="820"/>
      <c r="V53" s="823"/>
      <c r="W53" s="825"/>
      <c r="X53" s="825"/>
      <c r="Y53" s="825"/>
      <c r="Z53" s="100"/>
      <c r="AA53" s="100"/>
      <c r="AB53" s="100"/>
    </row>
    <row r="54" spans="1:28">
      <c r="A54" s="117"/>
      <c r="B54" s="117"/>
      <c r="C54" s="117"/>
      <c r="D54" s="117"/>
      <c r="E54" s="117"/>
      <c r="F54" s="851" t="s">
        <v>418</v>
      </c>
      <c r="G54" s="852" t="s">
        <v>381</v>
      </c>
      <c r="H54" s="853">
        <f>IFERROR(IF(VLOOKUP(K54,데이터입력!$C$42:$L$137,5,FALSE)&lt;1000,ROUNDUP(VLOOKUP(K54,데이터입력!$C$42:$L$137,5,FALSE)*1/1000,0),ROUND(VLOOKUP(K54,데이터입력!$C$42:$L$137,5,FALSE)*1/1000,0)),0)</f>
        <v>0</v>
      </c>
      <c r="I54" s="853">
        <f t="shared" ref="I54:I55" si="18">IFERROR(IF(F54="06",IF(V54&lt;1000,ROUNDUP((V54)*1/1000,0),ROUND((V54)*1/1000,0)),IF(F54="07",IF(W54&lt;1000,ROUNDUP((W54)*1/1000,0),ROUND((W54)*1/1000,0)),IF(F54="05",IF(X54&lt;1000,ROUNDUP((X54)*1/1000,0),ROUND((X54)*1/1000,0))))),0)</f>
        <v>0</v>
      </c>
      <c r="J54" s="854">
        <f>I54-H54</f>
        <v>0</v>
      </c>
      <c r="K54" s="231" t="str">
        <f>L54&amp;"("&amp;G54&amp;")"</f>
        <v>퇴직금 및 퇴직적립금(간접비)(보조금)</v>
      </c>
      <c r="L54" s="239" t="str">
        <f>L51</f>
        <v>퇴직금 및 퇴직적립금(간접비)</v>
      </c>
      <c r="M54" s="240"/>
      <c r="N54" s="855"/>
      <c r="O54" s="856"/>
      <c r="P54" s="857"/>
      <c r="Q54" s="856"/>
      <c r="R54" s="858"/>
      <c r="S54" s="856"/>
      <c r="T54" s="856" t="s">
        <v>405</v>
      </c>
      <c r="U54" s="859"/>
      <c r="V54" s="860"/>
      <c r="W54" s="861">
        <f>AA51</f>
        <v>0</v>
      </c>
      <c r="X54" s="861"/>
      <c r="Y54" s="861"/>
      <c r="Z54" s="100"/>
      <c r="AA54" s="100"/>
      <c r="AB54" s="100"/>
    </row>
    <row r="55" spans="1:28">
      <c r="A55" s="117"/>
      <c r="B55" s="117"/>
      <c r="C55" s="117"/>
      <c r="D55" s="133"/>
      <c r="E55" s="133"/>
      <c r="F55" s="862" t="s">
        <v>85</v>
      </c>
      <c r="G55" s="863" t="s">
        <v>19</v>
      </c>
      <c r="H55" s="864">
        <f>IFERROR(IF(VLOOKUP(K55,데이터입력!$C$42:$L$137,5,FALSE)&lt;1000,ROUNDUP(VLOOKUP(K55,데이터입력!$C$42:$L$137,5,FALSE)*1/1000,0),ROUND(VLOOKUP(K55,데이터입력!$C$42:$L$137,5,FALSE)*1/1000,0)),0)</f>
        <v>0</v>
      </c>
      <c r="I55" s="864">
        <f t="shared" si="18"/>
        <v>0</v>
      </c>
      <c r="J55" s="865">
        <f>I55-H55</f>
        <v>0</v>
      </c>
      <c r="K55" s="232" t="str">
        <f t="shared" ref="K55" si="19">L55&amp;"("&amp;G55&amp;")"</f>
        <v>퇴직금 및 퇴직적립금(간접비)(후원금)</v>
      </c>
      <c r="L55" s="241" t="str">
        <f>L51</f>
        <v>퇴직금 및 퇴직적립금(간접비)</v>
      </c>
      <c r="M55" s="242"/>
      <c r="N55" s="866"/>
      <c r="O55" s="867"/>
      <c r="P55" s="868"/>
      <c r="Q55" s="867"/>
      <c r="R55" s="869"/>
      <c r="S55" s="867"/>
      <c r="T55" s="867" t="s">
        <v>405</v>
      </c>
      <c r="U55" s="870"/>
      <c r="V55" s="871"/>
      <c r="W55" s="872"/>
      <c r="X55" s="871">
        <f>AB51</f>
        <v>0</v>
      </c>
      <c r="Y55" s="871"/>
      <c r="Z55" s="100"/>
      <c r="AA55" s="100"/>
      <c r="AB55" s="100"/>
    </row>
    <row r="56" spans="1:28" s="248" customFormat="1">
      <c r="A56" s="117"/>
      <c r="B56" s="117"/>
      <c r="C56" s="105" t="s">
        <v>434</v>
      </c>
      <c r="D56" s="148"/>
      <c r="E56" s="148"/>
      <c r="F56" s="833"/>
      <c r="G56" s="834"/>
      <c r="H56" s="835">
        <f>SUM(H57:H72)</f>
        <v>110347</v>
      </c>
      <c r="I56" s="835">
        <f t="shared" ref="I56:J56" si="20">SUM(I57:I72)</f>
        <v>0</v>
      </c>
      <c r="J56" s="835">
        <f t="shared" si="20"/>
        <v>-110347</v>
      </c>
      <c r="K56" s="835"/>
      <c r="L56" s="238"/>
      <c r="M56" s="238"/>
      <c r="N56" s="836"/>
      <c r="O56" s="837"/>
      <c r="P56" s="836"/>
      <c r="Q56" s="837"/>
      <c r="R56" s="836"/>
      <c r="S56" s="837"/>
      <c r="T56" s="837"/>
      <c r="U56" s="837"/>
      <c r="V56" s="838" t="e">
        <f>SUM(V57,V65)</f>
        <v>#REF!</v>
      </c>
      <c r="W56" s="838">
        <f>SUM(W57,W65)</f>
        <v>0</v>
      </c>
      <c r="X56" s="838">
        <f>SUM(X57,X65)</f>
        <v>0</v>
      </c>
      <c r="Y56" s="838" t="e">
        <f>SUM(V56:X56)</f>
        <v>#REF!</v>
      </c>
      <c r="Z56" s="100"/>
      <c r="AA56" s="100"/>
      <c r="AB56" s="100"/>
    </row>
    <row r="57" spans="1:28">
      <c r="A57" s="117"/>
      <c r="B57" s="117"/>
      <c r="C57" s="132"/>
      <c r="D57" s="1654" t="s">
        <v>48</v>
      </c>
      <c r="E57" s="107">
        <v>501010601</v>
      </c>
      <c r="F57" s="839" t="s">
        <v>83</v>
      </c>
      <c r="G57" s="840" t="s">
        <v>6</v>
      </c>
      <c r="H57" s="841">
        <f>IFERROR(IF(VLOOKUP(K57,데이터입력!$C$42:$L$137,5,FALSE)&lt;1000,ROUNDUP(VLOOKUP(K57,데이터입력!$C$42:$L$137,5,FALSE)*1/1000,0),ROUND(VLOOKUP(K57,데이터입력!$C$42:$L$137,5,FALSE)*1/1000,0)),0)</f>
        <v>101683</v>
      </c>
      <c r="I57" s="841">
        <f>IFERROR(IF(F57="06",IF(V57&lt;1000,ROUNDUP((V57)*1/1000,0),ROUND((V57)*1/1000,0)),IF(F57="07",IF(W57&lt;1000,ROUNDUP((W57)*1/1000,0),ROUND((W57)*1/1000,0)),IF(F57="05",IF(X57&lt;1000,ROUNDUP((X57)*1/1000,0),ROUND((X57)*1/1000,0))))),0)</f>
        <v>0</v>
      </c>
      <c r="J57" s="841">
        <f>I57-H57</f>
        <v>-101683</v>
      </c>
      <c r="K57" s="842" t="str">
        <f>L57&amp;"("&amp;G57&amp;")"</f>
        <v>사회보험부담금(직접비)(수익사업)</v>
      </c>
      <c r="L57" s="111" t="str">
        <f>D57</f>
        <v>사회보험부담금(직접비)</v>
      </c>
      <c r="M57" s="112"/>
      <c r="N57" s="843"/>
      <c r="O57" s="844"/>
      <c r="P57" s="843"/>
      <c r="Q57" s="844"/>
      <c r="R57" s="843"/>
      <c r="S57" s="844"/>
      <c r="T57" s="844"/>
      <c r="U57" s="844"/>
      <c r="V57" s="845" t="e">
        <f>SUM(V58:V64)-W57-X57</f>
        <v>#REF!</v>
      </c>
      <c r="W57" s="845">
        <f>SUM(W58:W64)</f>
        <v>0</v>
      </c>
      <c r="X57" s="845">
        <f>SUM(X58:X64)</f>
        <v>0</v>
      </c>
      <c r="Y57" s="845" t="e">
        <f>SUM(V57:X57)</f>
        <v>#REF!</v>
      </c>
      <c r="Z57" s="154" t="e">
        <f>ROUND(#REF!,-3)</f>
        <v>#REF!</v>
      </c>
      <c r="AA57" s="154">
        <f>데이터입력!$T$111</f>
        <v>0</v>
      </c>
      <c r="AB57" s="150">
        <f>데이터입력!$T$141</f>
        <v>0</v>
      </c>
    </row>
    <row r="58" spans="1:28">
      <c r="A58" s="117"/>
      <c r="B58" s="117"/>
      <c r="C58" s="117"/>
      <c r="D58" s="1655"/>
      <c r="E58" s="117"/>
      <c r="F58" s="846"/>
      <c r="G58" s="847"/>
      <c r="H58" s="848"/>
      <c r="I58" s="848"/>
      <c r="J58" s="848"/>
      <c r="K58" s="850"/>
      <c r="L58" s="126" t="s">
        <v>435</v>
      </c>
      <c r="M58" s="210"/>
      <c r="N58" s="819" t="e">
        <f>#REF!*데이터입력!$AF$14</f>
        <v>#REF!</v>
      </c>
      <c r="O58" s="120" t="str">
        <f>IF(P58="","","x ")</f>
        <v xml:space="preserve">x </v>
      </c>
      <c r="P58" s="873">
        <f>데이터입력!$AB$12</f>
        <v>4.7500000000000001E-2</v>
      </c>
      <c r="Q58" s="820" t="s">
        <v>404</v>
      </c>
      <c r="R58" s="822">
        <f>데이터입력!$Y$8</f>
        <v>12</v>
      </c>
      <c r="S58" s="820"/>
      <c r="T58" s="820" t="s">
        <v>405</v>
      </c>
      <c r="U58" s="820"/>
      <c r="V58" s="823" t="e">
        <f>ROUND(IF(P58="",N58*R58,N58*P58*R58),-3)</f>
        <v>#REF!</v>
      </c>
      <c r="W58" s="825"/>
      <c r="X58" s="825"/>
      <c r="Y58" s="825"/>
      <c r="Z58" s="100"/>
      <c r="AA58" s="100"/>
      <c r="AB58" s="100"/>
    </row>
    <row r="59" spans="1:28">
      <c r="A59" s="117"/>
      <c r="B59" s="117"/>
      <c r="C59" s="117"/>
      <c r="D59" s="1655"/>
      <c r="E59" s="117"/>
      <c r="F59" s="846"/>
      <c r="G59" s="847"/>
      <c r="H59" s="848"/>
      <c r="I59" s="848"/>
      <c r="J59" s="848"/>
      <c r="K59" s="850"/>
      <c r="L59" s="126" t="s">
        <v>436</v>
      </c>
      <c r="M59" s="210"/>
      <c r="N59" s="819" t="e">
        <f>#REF!*데이터입력!$AF$14</f>
        <v>#REF!</v>
      </c>
      <c r="O59" s="120" t="str">
        <f>IF(P59="","","x ")</f>
        <v xml:space="preserve">x </v>
      </c>
      <c r="P59" s="937">
        <f>데이터입력!$AB$13</f>
        <v>3.5950000000000003E-2</v>
      </c>
      <c r="Q59" s="820" t="s">
        <v>404</v>
      </c>
      <c r="R59" s="822">
        <f>데이터입력!$Y$8</f>
        <v>12</v>
      </c>
      <c r="S59" s="820"/>
      <c r="T59" s="820" t="s">
        <v>405</v>
      </c>
      <c r="U59" s="820"/>
      <c r="V59" s="823" t="e">
        <f t="shared" ref="V59:V60" si="21">ROUND(IF(P59="",N59*R59,N59*P59*R59),-3)</f>
        <v>#REF!</v>
      </c>
      <c r="W59" s="825"/>
      <c r="X59" s="825"/>
      <c r="Y59" s="825"/>
      <c r="Z59" s="100"/>
      <c r="AA59" s="100"/>
      <c r="AB59" s="100"/>
    </row>
    <row r="60" spans="1:28">
      <c r="A60" s="117"/>
      <c r="B60" s="117"/>
      <c r="C60" s="117"/>
      <c r="D60" s="1655"/>
      <c r="E60" s="117"/>
      <c r="F60" s="846"/>
      <c r="G60" s="847"/>
      <c r="H60" s="848"/>
      <c r="I60" s="848"/>
      <c r="J60" s="848"/>
      <c r="K60" s="850"/>
      <c r="L60" s="244" t="s">
        <v>437</v>
      </c>
      <c r="M60" s="245"/>
      <c r="N60" s="819" t="e">
        <f>ROUND(#REF!*$P$59*데이터입력!$AF$14,-1)</f>
        <v>#REF!</v>
      </c>
      <c r="O60" s="120" t="str">
        <f>IF(P60="","","x ")</f>
        <v xml:space="preserve">x </v>
      </c>
      <c r="P60" s="873">
        <f>데이터입력!$AB$14</f>
        <v>0.13139999999999999</v>
      </c>
      <c r="Q60" s="820" t="s">
        <v>404</v>
      </c>
      <c r="R60" s="822">
        <f>데이터입력!$Y$8</f>
        <v>12</v>
      </c>
      <c r="S60" s="820"/>
      <c r="T60" s="820" t="s">
        <v>405</v>
      </c>
      <c r="U60" s="820"/>
      <c r="V60" s="823" t="e">
        <f t="shared" si="21"/>
        <v>#REF!</v>
      </c>
      <c r="W60" s="825"/>
      <c r="X60" s="825"/>
      <c r="Y60" s="825"/>
      <c r="Z60" s="100"/>
      <c r="AA60" s="100"/>
      <c r="AB60" s="100"/>
    </row>
    <row r="61" spans="1:28">
      <c r="A61" s="117"/>
      <c r="B61" s="117"/>
      <c r="C61" s="117"/>
      <c r="D61" s="1655"/>
      <c r="E61" s="117"/>
      <c r="F61" s="846"/>
      <c r="G61" s="847"/>
      <c r="H61" s="848"/>
      <c r="I61" s="848"/>
      <c r="J61" s="848"/>
      <c r="K61" s="850"/>
      <c r="L61" s="244" t="s">
        <v>438</v>
      </c>
      <c r="M61" s="245"/>
      <c r="N61" s="819" t="e">
        <f>#REF!*데이터입력!$AF$14</f>
        <v>#REF!</v>
      </c>
      <c r="O61" s="120" t="str">
        <f>IF(P61="","","x ")</f>
        <v xml:space="preserve">x </v>
      </c>
      <c r="P61" s="873">
        <f>데이터입력!$AD$13</f>
        <v>1.15E-2</v>
      </c>
      <c r="Q61" s="820" t="s">
        <v>404</v>
      </c>
      <c r="R61" s="822">
        <f>데이터입력!$Y$8</f>
        <v>12</v>
      </c>
      <c r="S61" s="820"/>
      <c r="T61" s="820" t="s">
        <v>405</v>
      </c>
      <c r="U61" s="820"/>
      <c r="V61" s="823" t="e">
        <f>ROUND(IF(P61=0,N61*R61,N61*P61*R61),-3)</f>
        <v>#REF!</v>
      </c>
      <c r="W61" s="825"/>
      <c r="X61" s="825"/>
      <c r="Y61" s="825"/>
      <c r="Z61" s="100"/>
      <c r="AA61" s="100"/>
      <c r="AB61" s="100"/>
    </row>
    <row r="62" spans="1:28">
      <c r="A62" s="117"/>
      <c r="B62" s="117"/>
      <c r="C62" s="117"/>
      <c r="D62" s="1655"/>
      <c r="E62" s="117"/>
      <c r="F62" s="846"/>
      <c r="G62" s="847"/>
      <c r="H62" s="848"/>
      <c r="I62" s="848"/>
      <c r="J62" s="848"/>
      <c r="K62" s="850"/>
      <c r="L62" s="244" t="s">
        <v>439</v>
      </c>
      <c r="M62" s="245"/>
      <c r="N62" s="819" t="e">
        <f>#REF!*데이터입력!$AF$14</f>
        <v>#REF!</v>
      </c>
      <c r="O62" s="120" t="str">
        <f>IF(P62="","","x ")</f>
        <v xml:space="preserve">x </v>
      </c>
      <c r="P62" s="873">
        <f>데이터입력!$AD$14</f>
        <v>8.0999999999999996E-3</v>
      </c>
      <c r="Q62" s="820" t="s">
        <v>404</v>
      </c>
      <c r="R62" s="822">
        <f>데이터입력!$Y$8</f>
        <v>12</v>
      </c>
      <c r="S62" s="820"/>
      <c r="T62" s="820" t="s">
        <v>405</v>
      </c>
      <c r="U62" s="820"/>
      <c r="V62" s="823" t="e">
        <f>ROUND(IF(P62=0,N62*R62,N62*P62*R62),-3)</f>
        <v>#REF!</v>
      </c>
      <c r="W62" s="825"/>
      <c r="X62" s="825"/>
      <c r="Y62" s="825"/>
      <c r="Z62" s="100"/>
      <c r="AA62" s="100"/>
      <c r="AB62" s="100"/>
    </row>
    <row r="63" spans="1:28">
      <c r="A63" s="117"/>
      <c r="B63" s="117"/>
      <c r="C63" s="117"/>
      <c r="D63" s="117"/>
      <c r="E63" s="117"/>
      <c r="F63" s="851" t="s">
        <v>418</v>
      </c>
      <c r="G63" s="852" t="s">
        <v>381</v>
      </c>
      <c r="H63" s="853">
        <f>IFERROR(IF(VLOOKUP(K63,데이터입력!$C$42:$L$137,5,FALSE)&lt;1000,ROUNDUP(VLOOKUP(K63,데이터입력!$C$42:$L$137,5,FALSE)*1/1000,0),ROUND(VLOOKUP(K63,데이터입력!$C$42:$L$137,5,FALSE)*1/1000,0)),0)</f>
        <v>0</v>
      </c>
      <c r="I63" s="853">
        <f t="shared" ref="I63:I64" si="22">IFERROR(IF(F63="06",IF(V63&lt;1000,ROUNDUP((V63)*1/1000,0),ROUND((V63)*1/1000,0)),IF(F63="07",IF(W63&lt;1000,ROUNDUP((W63)*1/1000,0),ROUND((W63)*1/1000,0)),IF(F63="05",IF(X63&lt;1000,ROUNDUP((X63)*1/1000,0),ROUND((X63)*1/1000,0))))),0)</f>
        <v>0</v>
      </c>
      <c r="J63" s="854">
        <f>I63-H63</f>
        <v>0</v>
      </c>
      <c r="K63" s="231" t="str">
        <f>L63&amp;"("&amp;G63&amp;")"</f>
        <v>사회보험부담금(직접비)(보조금)</v>
      </c>
      <c r="L63" s="239" t="str">
        <f>L57</f>
        <v>사회보험부담금(직접비)</v>
      </c>
      <c r="M63" s="240"/>
      <c r="N63" s="855"/>
      <c r="O63" s="856"/>
      <c r="P63" s="857"/>
      <c r="Q63" s="856"/>
      <c r="R63" s="858"/>
      <c r="S63" s="856"/>
      <c r="T63" s="856" t="s">
        <v>405</v>
      </c>
      <c r="U63" s="859"/>
      <c r="V63" s="860"/>
      <c r="W63" s="861">
        <f>AA57</f>
        <v>0</v>
      </c>
      <c r="X63" s="861"/>
      <c r="Y63" s="861"/>
      <c r="Z63" s="100"/>
      <c r="AA63" s="100"/>
      <c r="AB63" s="100"/>
    </row>
    <row r="64" spans="1:28">
      <c r="A64" s="117"/>
      <c r="B64" s="117"/>
      <c r="C64" s="117"/>
      <c r="D64" s="133"/>
      <c r="E64" s="133"/>
      <c r="F64" s="862" t="s">
        <v>85</v>
      </c>
      <c r="G64" s="863" t="s">
        <v>19</v>
      </c>
      <c r="H64" s="864">
        <f>IFERROR(IF(VLOOKUP(K64,데이터입력!$C$42:$L$137,5,FALSE)&lt;1000,ROUNDUP(VLOOKUP(K64,데이터입력!$C$42:$L$137,5,FALSE)*1/1000,0),ROUND(VLOOKUP(K64,데이터입력!$C$42:$L$137,5,FALSE)*1/1000,0)),0)</f>
        <v>0</v>
      </c>
      <c r="I64" s="864">
        <f t="shared" si="22"/>
        <v>0</v>
      </c>
      <c r="J64" s="865">
        <f>I64-H64</f>
        <v>0</v>
      </c>
      <c r="K64" s="232" t="str">
        <f t="shared" ref="K64" si="23">L64&amp;"("&amp;G64&amp;")"</f>
        <v>사회보험부담금(직접비)(후원금)</v>
      </c>
      <c r="L64" s="241" t="str">
        <f>L57</f>
        <v>사회보험부담금(직접비)</v>
      </c>
      <c r="M64" s="242"/>
      <c r="N64" s="866"/>
      <c r="O64" s="867"/>
      <c r="P64" s="868"/>
      <c r="Q64" s="867"/>
      <c r="R64" s="869"/>
      <c r="S64" s="867"/>
      <c r="T64" s="867" t="s">
        <v>405</v>
      </c>
      <c r="U64" s="870"/>
      <c r="V64" s="871"/>
      <c r="W64" s="872"/>
      <c r="X64" s="871">
        <f>AB57</f>
        <v>0</v>
      </c>
      <c r="Y64" s="871"/>
      <c r="Z64" s="100"/>
      <c r="AA64" s="100"/>
      <c r="AB64" s="100"/>
    </row>
    <row r="65" spans="1:28">
      <c r="A65" s="117"/>
      <c r="B65" s="117"/>
      <c r="C65" s="117"/>
      <c r="D65" s="1654" t="s">
        <v>49</v>
      </c>
      <c r="E65" s="107">
        <v>501010602</v>
      </c>
      <c r="F65" s="839" t="s">
        <v>83</v>
      </c>
      <c r="G65" s="840" t="s">
        <v>6</v>
      </c>
      <c r="H65" s="841">
        <f>IFERROR(IF(VLOOKUP(K65,데이터입력!$C$42:$L$137,5,FALSE)&lt;1000,ROUNDUP(VLOOKUP(K65,데이터입력!$C$42:$L$137,5,FALSE)*1/1000,0),ROUND(VLOOKUP(K65,데이터입력!$C$42:$L$137,5,FALSE)*1/1000,0)),0)</f>
        <v>8664</v>
      </c>
      <c r="I65" s="841">
        <f>IFERROR(IF(F65="06",IF(V65&lt;1000,ROUNDUP((V65)*1/1000,0),ROUND((V65)*1/1000,0)),IF(F65="07",IF(W65&lt;1000,ROUNDUP((W65)*1/1000,0),ROUND((W65)*1/1000,0)),IF(F65="05",IF(X65&lt;1000,ROUNDUP((X65)*1/1000,0),ROUND((X65)*1/1000,0))))),0)</f>
        <v>0</v>
      </c>
      <c r="J65" s="841">
        <f>I65-H65</f>
        <v>-8664</v>
      </c>
      <c r="K65" s="842" t="str">
        <f>L65&amp;"("&amp;G65&amp;")"</f>
        <v>사회보험부담금(간접비)(수익사업)</v>
      </c>
      <c r="L65" s="111" t="str">
        <f>D65</f>
        <v>사회보험부담금(간접비)</v>
      </c>
      <c r="M65" s="112"/>
      <c r="N65" s="843"/>
      <c r="O65" s="844"/>
      <c r="P65" s="874"/>
      <c r="Q65" s="844"/>
      <c r="R65" s="843"/>
      <c r="S65" s="844"/>
      <c r="T65" s="844"/>
      <c r="U65" s="844"/>
      <c r="V65" s="845" t="e">
        <f>SUM(V66:V72)-W65-X65</f>
        <v>#REF!</v>
      </c>
      <c r="W65" s="845">
        <f>SUM(W66:W72)</f>
        <v>0</v>
      </c>
      <c r="X65" s="845">
        <f>SUM(X66:X72)</f>
        <v>0</v>
      </c>
      <c r="Y65" s="845" t="e">
        <f>SUM(V65:X65)</f>
        <v>#REF!</v>
      </c>
      <c r="Z65" s="154" t="e">
        <f>ROUND(#REF!,-3)</f>
        <v>#REF!</v>
      </c>
      <c r="AA65" s="154">
        <f>데이터입력!$T$112</f>
        <v>0</v>
      </c>
      <c r="AB65" s="150">
        <f>데이터입력!$T$142</f>
        <v>0</v>
      </c>
    </row>
    <row r="66" spans="1:28">
      <c r="A66" s="117"/>
      <c r="B66" s="117"/>
      <c r="C66" s="117"/>
      <c r="D66" s="1655"/>
      <c r="E66" s="117"/>
      <c r="F66" s="846"/>
      <c r="G66" s="847"/>
      <c r="H66" s="848"/>
      <c r="I66" s="848"/>
      <c r="J66" s="848"/>
      <c r="K66" s="850"/>
      <c r="L66" s="126" t="s">
        <v>435</v>
      </c>
      <c r="M66" s="210"/>
      <c r="N66" s="819" t="e">
        <f>#REF!*데이터입력!$AE$14</f>
        <v>#REF!</v>
      </c>
      <c r="O66" s="120" t="str">
        <f>IF(P66="","","x ")</f>
        <v xml:space="preserve">x </v>
      </c>
      <c r="P66" s="873">
        <f>데이터입력!$AB$12</f>
        <v>4.7500000000000001E-2</v>
      </c>
      <c r="Q66" s="820" t="s">
        <v>404</v>
      </c>
      <c r="R66" s="822">
        <f>데이터입력!$Y$8</f>
        <v>12</v>
      </c>
      <c r="S66" s="820"/>
      <c r="T66" s="820" t="s">
        <v>405</v>
      </c>
      <c r="U66" s="820"/>
      <c r="V66" s="823" t="e">
        <f>ROUND(IF(P66="",N66*R66,N66*P66*R66),-3)</f>
        <v>#REF!</v>
      </c>
      <c r="W66" s="825"/>
      <c r="X66" s="825"/>
      <c r="Y66" s="825"/>
      <c r="Z66" s="100"/>
      <c r="AA66" s="100"/>
      <c r="AB66" s="100"/>
    </row>
    <row r="67" spans="1:28">
      <c r="A67" s="117"/>
      <c r="B67" s="117"/>
      <c r="C67" s="117"/>
      <c r="D67" s="1655"/>
      <c r="E67" s="117"/>
      <c r="F67" s="846"/>
      <c r="G67" s="847"/>
      <c r="H67" s="848"/>
      <c r="I67" s="848"/>
      <c r="J67" s="848"/>
      <c r="K67" s="850"/>
      <c r="L67" s="126" t="s">
        <v>436</v>
      </c>
      <c r="M67" s="210"/>
      <c r="N67" s="819" t="e">
        <f>#REF!*데이터입력!$AE$14</f>
        <v>#REF!</v>
      </c>
      <c r="O67" s="120" t="str">
        <f>IF(P67="","","x ")</f>
        <v xml:space="preserve">x </v>
      </c>
      <c r="P67" s="937">
        <f>데이터입력!$AB$13</f>
        <v>3.5950000000000003E-2</v>
      </c>
      <c r="Q67" s="820" t="s">
        <v>404</v>
      </c>
      <c r="R67" s="822">
        <f>데이터입력!$Y$8</f>
        <v>12</v>
      </c>
      <c r="S67" s="820"/>
      <c r="T67" s="820" t="s">
        <v>405</v>
      </c>
      <c r="U67" s="820"/>
      <c r="V67" s="823" t="e">
        <f t="shared" ref="V67:V68" si="24">ROUND(IF(P67="",N67*R67,N67*P67*R67),-3)</f>
        <v>#REF!</v>
      </c>
      <c r="W67" s="825"/>
      <c r="X67" s="825"/>
      <c r="Y67" s="825"/>
      <c r="Z67" s="100"/>
      <c r="AA67" s="100"/>
      <c r="AB67" s="100"/>
    </row>
    <row r="68" spans="1:28">
      <c r="A68" s="117"/>
      <c r="B68" s="117"/>
      <c r="C68" s="117"/>
      <c r="D68" s="1655"/>
      <c r="E68" s="117"/>
      <c r="F68" s="846"/>
      <c r="G68" s="847"/>
      <c r="H68" s="848"/>
      <c r="I68" s="848"/>
      <c r="J68" s="848"/>
      <c r="K68" s="850"/>
      <c r="L68" s="244" t="s">
        <v>437</v>
      </c>
      <c r="M68" s="245"/>
      <c r="N68" s="819" t="e">
        <f>ROUND(#REF!*$P$67*데이터입력!$AE$14,-1)</f>
        <v>#REF!</v>
      </c>
      <c r="O68" s="120" t="str">
        <f>IF(P68="","","x ")</f>
        <v xml:space="preserve">x </v>
      </c>
      <c r="P68" s="873">
        <f>데이터입력!$AB$14</f>
        <v>0.13139999999999999</v>
      </c>
      <c r="Q68" s="820" t="s">
        <v>404</v>
      </c>
      <c r="R68" s="822">
        <f>데이터입력!$Y$8</f>
        <v>12</v>
      </c>
      <c r="S68" s="820"/>
      <c r="T68" s="820" t="s">
        <v>405</v>
      </c>
      <c r="U68" s="820"/>
      <c r="V68" s="823" t="e">
        <f t="shared" si="24"/>
        <v>#REF!</v>
      </c>
      <c r="W68" s="825"/>
      <c r="X68" s="825"/>
      <c r="Y68" s="825"/>
      <c r="Z68" s="100"/>
      <c r="AA68" s="100"/>
      <c r="AB68" s="100"/>
    </row>
    <row r="69" spans="1:28">
      <c r="A69" s="117"/>
      <c r="B69" s="117"/>
      <c r="C69" s="117"/>
      <c r="D69" s="1655"/>
      <c r="E69" s="117"/>
      <c r="F69" s="846"/>
      <c r="G69" s="847"/>
      <c r="H69" s="848"/>
      <c r="I69" s="848"/>
      <c r="J69" s="848"/>
      <c r="K69" s="850"/>
      <c r="L69" s="244" t="s">
        <v>438</v>
      </c>
      <c r="M69" s="245"/>
      <c r="N69" s="819" t="e">
        <f>#REF!*데이터입력!$AE$14</f>
        <v>#REF!</v>
      </c>
      <c r="O69" s="120" t="str">
        <f>IF(P69="","","x ")</f>
        <v xml:space="preserve">x </v>
      </c>
      <c r="P69" s="873">
        <f>데이터입력!$AD$13</f>
        <v>1.15E-2</v>
      </c>
      <c r="Q69" s="820" t="s">
        <v>404</v>
      </c>
      <c r="R69" s="822">
        <f>데이터입력!$Y$8</f>
        <v>12</v>
      </c>
      <c r="S69" s="820"/>
      <c r="T69" s="820" t="s">
        <v>405</v>
      </c>
      <c r="U69" s="820"/>
      <c r="V69" s="823" t="e">
        <f t="shared" ref="V69:V70" si="25">ROUND(IF(P69=0,N69*R69,N69*P69*R69),-3)</f>
        <v>#REF!</v>
      </c>
      <c r="W69" s="825"/>
      <c r="X69" s="825"/>
      <c r="Y69" s="825"/>
      <c r="Z69" s="100"/>
      <c r="AA69" s="100"/>
      <c r="AB69" s="100"/>
    </row>
    <row r="70" spans="1:28">
      <c r="A70" s="117"/>
      <c r="B70" s="117"/>
      <c r="C70" s="117"/>
      <c r="D70" s="1655"/>
      <c r="E70" s="117"/>
      <c r="F70" s="846"/>
      <c r="G70" s="847"/>
      <c r="H70" s="848"/>
      <c r="I70" s="848"/>
      <c r="J70" s="848"/>
      <c r="K70" s="850"/>
      <c r="L70" s="244" t="s">
        <v>439</v>
      </c>
      <c r="M70" s="245"/>
      <c r="N70" s="819" t="e">
        <f>#REF!*데이터입력!$AE$14</f>
        <v>#REF!</v>
      </c>
      <c r="O70" s="120" t="str">
        <f>IF(P70="","","x ")</f>
        <v xml:space="preserve">x </v>
      </c>
      <c r="P70" s="873">
        <f>데이터입력!$AD$14</f>
        <v>8.0999999999999996E-3</v>
      </c>
      <c r="Q70" s="820" t="s">
        <v>404</v>
      </c>
      <c r="R70" s="822">
        <f>데이터입력!$Y$8</f>
        <v>12</v>
      </c>
      <c r="S70" s="820"/>
      <c r="T70" s="820" t="s">
        <v>405</v>
      </c>
      <c r="U70" s="820"/>
      <c r="V70" s="823" t="e">
        <f t="shared" si="25"/>
        <v>#REF!</v>
      </c>
      <c r="W70" s="825"/>
      <c r="X70" s="825"/>
      <c r="Y70" s="825"/>
      <c r="Z70" s="100"/>
      <c r="AA70" s="100"/>
      <c r="AB70" s="100"/>
    </row>
    <row r="71" spans="1:28">
      <c r="A71" s="117"/>
      <c r="B71" s="117"/>
      <c r="C71" s="117"/>
      <c r="D71" s="117"/>
      <c r="E71" s="117"/>
      <c r="F71" s="851" t="s">
        <v>418</v>
      </c>
      <c r="G71" s="852" t="s">
        <v>381</v>
      </c>
      <c r="H71" s="853">
        <f>IFERROR(IF(VLOOKUP(K71,데이터입력!$C$42:$L$137,5,FALSE)&lt;1000,ROUNDUP(VLOOKUP(K71,데이터입력!$C$42:$L$137,5,FALSE)*1/1000,0),ROUND(VLOOKUP(K71,데이터입력!$C$42:$L$137,5,FALSE)*1/1000,0)),0)</f>
        <v>0</v>
      </c>
      <c r="I71" s="853">
        <f t="shared" ref="I71:I72" si="26">IFERROR(IF(F71="06",IF(V71&lt;1000,ROUNDUP((V71)*1/1000,0),ROUND((V71)*1/1000,0)),IF(F71="07",IF(W71&lt;1000,ROUNDUP((W71)*1/1000,0),ROUND((W71)*1/1000,0)),IF(F71="05",IF(X71&lt;1000,ROUNDUP((X71)*1/1000,0),ROUND((X71)*1/1000,0))))),0)</f>
        <v>0</v>
      </c>
      <c r="J71" s="854">
        <f>I71-H71</f>
        <v>0</v>
      </c>
      <c r="K71" s="231" t="str">
        <f>L71&amp;"("&amp;G71&amp;")"</f>
        <v>사회보험부담금(간접비)(보조금)</v>
      </c>
      <c r="L71" s="239" t="str">
        <f>L65</f>
        <v>사회보험부담금(간접비)</v>
      </c>
      <c r="M71" s="240"/>
      <c r="N71" s="855"/>
      <c r="O71" s="856"/>
      <c r="P71" s="857"/>
      <c r="Q71" s="856"/>
      <c r="R71" s="858"/>
      <c r="S71" s="856"/>
      <c r="T71" s="856" t="s">
        <v>405</v>
      </c>
      <c r="U71" s="859"/>
      <c r="V71" s="860"/>
      <c r="W71" s="861">
        <f>AA65</f>
        <v>0</v>
      </c>
      <c r="X71" s="861"/>
      <c r="Y71" s="861"/>
      <c r="Z71" s="100"/>
      <c r="AA71" s="100"/>
      <c r="AB71" s="100"/>
    </row>
    <row r="72" spans="1:28">
      <c r="A72" s="117"/>
      <c r="B72" s="117"/>
      <c r="C72" s="117"/>
      <c r="D72" s="133"/>
      <c r="E72" s="133"/>
      <c r="F72" s="862" t="s">
        <v>85</v>
      </c>
      <c r="G72" s="863" t="s">
        <v>19</v>
      </c>
      <c r="H72" s="864">
        <f>IFERROR(IF(VLOOKUP(K72,데이터입력!$C$42:$L$137,5,FALSE)&lt;1000,ROUNDUP(VLOOKUP(K72,데이터입력!$C$42:$L$137,5,FALSE)*1/1000,0),ROUND(VLOOKUP(K72,데이터입력!$C$42:$L$137,5,FALSE)*1/1000,0)),0)</f>
        <v>0</v>
      </c>
      <c r="I72" s="864">
        <f t="shared" si="26"/>
        <v>0</v>
      </c>
      <c r="J72" s="865">
        <f>I72-H72</f>
        <v>0</v>
      </c>
      <c r="K72" s="232" t="str">
        <f t="shared" ref="K72" si="27">L72&amp;"("&amp;G72&amp;")"</f>
        <v>사회보험부담금(간접비)(후원금)</v>
      </c>
      <c r="L72" s="241" t="str">
        <f>L65</f>
        <v>사회보험부담금(간접비)</v>
      </c>
      <c r="M72" s="242"/>
      <c r="N72" s="866"/>
      <c r="O72" s="867"/>
      <c r="P72" s="868"/>
      <c r="Q72" s="867"/>
      <c r="R72" s="869"/>
      <c r="S72" s="867"/>
      <c r="T72" s="867" t="s">
        <v>405</v>
      </c>
      <c r="U72" s="870"/>
      <c r="V72" s="871"/>
      <c r="W72" s="872"/>
      <c r="X72" s="871">
        <f>AB65</f>
        <v>0</v>
      </c>
      <c r="Y72" s="871"/>
      <c r="Z72" s="100"/>
      <c r="AA72" s="100"/>
      <c r="AB72" s="100"/>
    </row>
    <row r="73" spans="1:28" s="254" customFormat="1">
      <c r="A73" s="270"/>
      <c r="B73" s="255" t="s">
        <v>301</v>
      </c>
      <c r="C73" s="256"/>
      <c r="D73" s="257"/>
      <c r="E73" s="257"/>
      <c r="F73" s="875"/>
      <c r="G73" s="875"/>
      <c r="H73" s="246">
        <f>SUM(H74:H102)</f>
        <v>18756</v>
      </c>
      <c r="I73" s="246">
        <f>SUM(I74:I102)</f>
        <v>18756</v>
      </c>
      <c r="J73" s="246">
        <f>SUM(J74:J102)</f>
        <v>0</v>
      </c>
      <c r="K73" s="246"/>
      <c r="L73" s="258"/>
      <c r="M73" s="258"/>
      <c r="N73" s="258"/>
      <c r="O73" s="258"/>
      <c r="P73" s="258"/>
      <c r="Q73" s="258"/>
      <c r="R73" s="258"/>
      <c r="S73" s="258"/>
      <c r="T73" s="258"/>
      <c r="U73" s="258"/>
      <c r="V73" s="247">
        <f>SUM(V74,V84,V93)</f>
        <v>18756000</v>
      </c>
      <c r="W73" s="247">
        <f>SUM(W74,W84,W93)</f>
        <v>0</v>
      </c>
      <c r="X73" s="247">
        <f>SUM(X74,X84,X93)</f>
        <v>0</v>
      </c>
      <c r="Y73" s="247">
        <f>SUM(V73:X73)</f>
        <v>18756000</v>
      </c>
      <c r="Z73" s="155"/>
      <c r="AA73" s="155"/>
      <c r="AB73" s="155"/>
    </row>
    <row r="74" spans="1:28">
      <c r="A74" s="117"/>
      <c r="B74" s="117"/>
      <c r="C74" s="107" t="s">
        <v>50</v>
      </c>
      <c r="D74" s="107" t="s">
        <v>50</v>
      </c>
      <c r="E74" s="107">
        <v>501020101</v>
      </c>
      <c r="F74" s="839" t="s">
        <v>83</v>
      </c>
      <c r="G74" s="840" t="s">
        <v>6</v>
      </c>
      <c r="H74" s="841">
        <f>IFERROR(IF(VLOOKUP(K74,데이터입력!$C$42:$L$137,5,FALSE)&lt;1000,ROUNDUP(VLOOKUP(K74,데이터입력!$C$42:$L$137,5,FALSE)*1/1000,0),ROUND(VLOOKUP(K74,데이터입력!$C$42:$L$137,5,FALSE)*1/1000,0)),0)</f>
        <v>6000</v>
      </c>
      <c r="I74" s="841">
        <f>IFERROR(IF(F74="06",IF(V74&lt;1000,ROUNDUP((V74)*1/1000,0),ROUND((V74)*1/1000,0)),IF(F74="07",IF(W74&lt;1000,ROUNDUP((W74)*1/1000,0),ROUND((W74)*1/1000,0)),IF(F74="05",IF(X74&lt;1000,ROUNDUP((X74)*1/1000,0),ROUND((X74)*1/1000,0))))),0)</f>
        <v>6000</v>
      </c>
      <c r="J74" s="841">
        <f>I74-H74</f>
        <v>0</v>
      </c>
      <c r="K74" s="842" t="str">
        <f>L74&amp;"("&amp;G74&amp;")"</f>
        <v>기관운영비(수익사업)</v>
      </c>
      <c r="L74" s="111" t="str">
        <f>D74</f>
        <v>기관운영비</v>
      </c>
      <c r="M74" s="112"/>
      <c r="N74" s="843"/>
      <c r="O74" s="844"/>
      <c r="P74" s="843"/>
      <c r="Q74" s="844"/>
      <c r="R74" s="843"/>
      <c r="S74" s="844"/>
      <c r="T74" s="844"/>
      <c r="U74" s="844"/>
      <c r="V74" s="845">
        <f>SUM(V75:V83)</f>
        <v>6000000</v>
      </c>
      <c r="W74" s="845">
        <f>SUM(W75:W83)</f>
        <v>0</v>
      </c>
      <c r="X74" s="845">
        <f>SUM(X75:X83)</f>
        <v>0</v>
      </c>
      <c r="Y74" s="845">
        <f>SUM(V74:X74)</f>
        <v>6000000</v>
      </c>
      <c r="Z74" s="228">
        <f>IFERROR(VLOOKUP($L74,데이터입력!$R$70:$U$102,3,FALSE),0)</f>
        <v>6000000</v>
      </c>
      <c r="AA74" s="228">
        <f>IFERROR(VLOOKUP($L82,데이터입력!$R$103:$U$132,3,FALSE),0)</f>
        <v>0</v>
      </c>
      <c r="AB74" s="228">
        <f>IFERROR(VLOOKUP($L83,데이터입력!$R$133:$U$158,3,FALSE),0)</f>
        <v>0</v>
      </c>
    </row>
    <row r="75" spans="1:28">
      <c r="A75" s="117"/>
      <c r="B75" s="117"/>
      <c r="C75" s="117"/>
      <c r="D75" s="117"/>
      <c r="E75" s="117"/>
      <c r="F75" s="846"/>
      <c r="G75" s="847"/>
      <c r="H75" s="848"/>
      <c r="I75" s="848"/>
      <c r="J75" s="848"/>
      <c r="K75" s="849"/>
      <c r="L75" s="244" t="str">
        <f>"  - "&amp;데이터입력!AD35</f>
        <v xml:space="preserve">  - 상담,타시설 미팅등</v>
      </c>
      <c r="M75" s="245"/>
      <c r="N75" s="819">
        <f>데이터입력!AE35</f>
        <v>50000</v>
      </c>
      <c r="O75" s="120" t="str">
        <f>IF(P75="","","x ")</f>
        <v/>
      </c>
      <c r="P75" s="821"/>
      <c r="Q75" s="820" t="str">
        <f>IF(R75="","","x ")</f>
        <v xml:space="preserve">x </v>
      </c>
      <c r="R75" s="822">
        <f>IF(OR(데이터입력!AF35=0,데이터입력!AF35=""),데이터입력!$Y$8,데이터입력!AF35)</f>
        <v>12</v>
      </c>
      <c r="S75" s="820"/>
      <c r="T75" s="820" t="s">
        <v>405</v>
      </c>
      <c r="U75" s="820"/>
      <c r="V75" s="823">
        <f>IF(R75="",N75,N75*R75)</f>
        <v>600000</v>
      </c>
      <c r="W75" s="825"/>
      <c r="X75" s="825"/>
      <c r="Y75" s="825"/>
      <c r="Z75" s="229"/>
      <c r="AA75" s="229"/>
      <c r="AB75" s="230"/>
    </row>
    <row r="76" spans="1:28">
      <c r="A76" s="117"/>
      <c r="B76" s="117"/>
      <c r="C76" s="117"/>
      <c r="D76" s="117"/>
      <c r="E76" s="117"/>
      <c r="F76" s="846"/>
      <c r="G76" s="847"/>
      <c r="H76" s="848"/>
      <c r="I76" s="848"/>
      <c r="J76" s="848"/>
      <c r="K76" s="850"/>
      <c r="L76" s="244" t="str">
        <f>"  - "&amp;데이터입력!AD36</f>
        <v xml:space="preserve">  - 직원복지관련비용</v>
      </c>
      <c r="M76" s="245"/>
      <c r="N76" s="819">
        <f>데이터입력!AE36</f>
        <v>350000</v>
      </c>
      <c r="O76" s="120" t="str">
        <f>IF(P76="","","x ")</f>
        <v/>
      </c>
      <c r="P76" s="821"/>
      <c r="Q76" s="820" t="s">
        <v>404</v>
      </c>
      <c r="R76" s="822">
        <f>IF(OR(데이터입력!AF36=0,데이터입력!AF36=""),데이터입력!$Y$8,데이터입력!AF36)</f>
        <v>12</v>
      </c>
      <c r="S76" s="820"/>
      <c r="T76" s="820" t="s">
        <v>405</v>
      </c>
      <c r="U76" s="820"/>
      <c r="V76" s="823">
        <f t="shared" ref="V76:V81" si="28">IF(R76="",N76,N76*R76)</f>
        <v>4200000</v>
      </c>
      <c r="W76" s="825"/>
      <c r="X76" s="825"/>
      <c r="Y76" s="825"/>
      <c r="Z76" s="229"/>
      <c r="AA76" s="229"/>
      <c r="AB76" s="230"/>
    </row>
    <row r="77" spans="1:28">
      <c r="A77" s="117"/>
      <c r="B77" s="117"/>
      <c r="C77" s="117"/>
      <c r="D77" s="117"/>
      <c r="E77" s="117"/>
      <c r="F77" s="846"/>
      <c r="G77" s="847"/>
      <c r="H77" s="848"/>
      <c r="I77" s="848"/>
      <c r="J77" s="848"/>
      <c r="K77" s="850"/>
      <c r="L77" s="244" t="str">
        <f>"  - "&amp;데이터입력!AD37</f>
        <v xml:space="preserve">  - 경조사비(직원)</v>
      </c>
      <c r="M77" s="245"/>
      <c r="N77" s="819">
        <f>데이터입력!AE37</f>
        <v>100000</v>
      </c>
      <c r="O77" s="120" t="str">
        <f>IF(P77="","","x ")</f>
        <v/>
      </c>
      <c r="P77" s="821"/>
      <c r="Q77" s="820" t="str">
        <f t="shared" ref="Q77" si="29">IF(R77="","","x ")</f>
        <v xml:space="preserve">x </v>
      </c>
      <c r="R77" s="822">
        <f>IF(OR(데이터입력!AF37=0,데이터입력!AF37=""),데이터입력!$Y$8,데이터입력!AF37)</f>
        <v>12</v>
      </c>
      <c r="S77" s="820"/>
      <c r="T77" s="820" t="s">
        <v>405</v>
      </c>
      <c r="U77" s="820"/>
      <c r="V77" s="823">
        <f t="shared" si="28"/>
        <v>1200000</v>
      </c>
      <c r="W77" s="825"/>
      <c r="X77" s="825"/>
      <c r="Y77" s="825"/>
      <c r="Z77" s="229"/>
      <c r="AA77" s="229"/>
      <c r="AB77" s="230"/>
    </row>
    <row r="78" spans="1:28">
      <c r="A78" s="117"/>
      <c r="B78" s="117"/>
      <c r="C78" s="117"/>
      <c r="D78" s="117"/>
      <c r="E78" s="117"/>
      <c r="F78" s="846"/>
      <c r="G78" s="847"/>
      <c r="H78" s="848"/>
      <c r="I78" s="848"/>
      <c r="J78" s="848"/>
      <c r="K78" s="850"/>
      <c r="L78" s="244" t="str">
        <f>"  - "&amp;데이터입력!AD38</f>
        <v xml:space="preserve">  - </v>
      </c>
      <c r="M78" s="245"/>
      <c r="N78" s="819">
        <f>데이터입력!AE38</f>
        <v>0</v>
      </c>
      <c r="O78" s="120" t="str">
        <f>IF(P78="","","x ")</f>
        <v/>
      </c>
      <c r="P78" s="821"/>
      <c r="Q78" s="820" t="s">
        <v>404</v>
      </c>
      <c r="R78" s="822">
        <f>IF(OR(데이터입력!AF38=0,데이터입력!AF38=""),데이터입력!$Y$8,데이터입력!AF38)</f>
        <v>12</v>
      </c>
      <c r="S78" s="820"/>
      <c r="T78" s="820" t="s">
        <v>405</v>
      </c>
      <c r="U78" s="820"/>
      <c r="V78" s="823">
        <f t="shared" si="28"/>
        <v>0</v>
      </c>
      <c r="W78" s="825"/>
      <c r="X78" s="825"/>
      <c r="Y78" s="825"/>
      <c r="Z78" s="229"/>
      <c r="AA78" s="229"/>
      <c r="AB78" s="230"/>
    </row>
    <row r="79" spans="1:28" hidden="1">
      <c r="A79" s="117"/>
      <c r="B79" s="117"/>
      <c r="C79" s="117"/>
      <c r="D79" s="117"/>
      <c r="E79" s="117"/>
      <c r="F79" s="846"/>
      <c r="G79" s="847"/>
      <c r="H79" s="848"/>
      <c r="I79" s="848"/>
      <c r="J79" s="848"/>
      <c r="K79" s="850"/>
      <c r="L79" s="244" t="str">
        <f>"  - "&amp;데이터입력!AD39</f>
        <v xml:space="preserve">  - </v>
      </c>
      <c r="M79" s="245"/>
      <c r="N79" s="819">
        <f>데이터입력!AE39</f>
        <v>0</v>
      </c>
      <c r="O79" s="820" t="str">
        <f t="shared" ref="O79" si="30">IF(R79="","","x ")</f>
        <v xml:space="preserve">x </v>
      </c>
      <c r="P79" s="821"/>
      <c r="Q79" s="820" t="str">
        <f t="shared" ref="Q79" si="31">IF(R79="","","x ")</f>
        <v xml:space="preserve">x </v>
      </c>
      <c r="R79" s="822">
        <f>IF(OR(데이터입력!AF39=0,데이터입력!AF39=""),데이터입력!$Y$8,데이터입력!AF39)</f>
        <v>12</v>
      </c>
      <c r="S79" s="820"/>
      <c r="T79" s="820" t="s">
        <v>405</v>
      </c>
      <c r="U79" s="820"/>
      <c r="V79" s="823">
        <f t="shared" si="28"/>
        <v>0</v>
      </c>
      <c r="W79" s="825"/>
      <c r="X79" s="825"/>
      <c r="Y79" s="825"/>
      <c r="Z79" s="229"/>
      <c r="AA79" s="229"/>
      <c r="AB79" s="230"/>
    </row>
    <row r="80" spans="1:28" hidden="1">
      <c r="A80" s="117"/>
      <c r="B80" s="117"/>
      <c r="C80" s="117"/>
      <c r="D80" s="117"/>
      <c r="E80" s="117"/>
      <c r="F80" s="846"/>
      <c r="G80" s="847"/>
      <c r="H80" s="848"/>
      <c r="I80" s="848"/>
      <c r="J80" s="848"/>
      <c r="K80" s="850"/>
      <c r="L80" s="244" t="str">
        <f>"  - "&amp;데이터입력!AD40</f>
        <v xml:space="preserve">  - </v>
      </c>
      <c r="M80" s="245"/>
      <c r="N80" s="819">
        <f>데이터입력!AE40</f>
        <v>0</v>
      </c>
      <c r="O80" s="820" t="s">
        <v>404</v>
      </c>
      <c r="P80" s="821"/>
      <c r="Q80" s="820" t="s">
        <v>404</v>
      </c>
      <c r="R80" s="822">
        <f>IF(OR(데이터입력!AF40=0,데이터입력!AF40=""),데이터입력!$Y$8,데이터입력!AF40)</f>
        <v>12</v>
      </c>
      <c r="S80" s="820"/>
      <c r="T80" s="820" t="s">
        <v>405</v>
      </c>
      <c r="U80" s="820"/>
      <c r="V80" s="823">
        <f t="shared" si="28"/>
        <v>0</v>
      </c>
      <c r="W80" s="825"/>
      <c r="X80" s="825"/>
      <c r="Y80" s="825"/>
      <c r="Z80" s="229"/>
      <c r="AA80" s="229"/>
      <c r="AB80" s="230"/>
    </row>
    <row r="81" spans="1:28" hidden="1">
      <c r="A81" s="117"/>
      <c r="B81" s="117"/>
      <c r="C81" s="117"/>
      <c r="D81" s="117"/>
      <c r="E81" s="117"/>
      <c r="F81" s="846"/>
      <c r="G81" s="847"/>
      <c r="H81" s="848"/>
      <c r="I81" s="848"/>
      <c r="J81" s="848"/>
      <c r="K81" s="850"/>
      <c r="L81" s="244" t="str">
        <f>"  - "&amp;데이터입력!AD41</f>
        <v xml:space="preserve">  - </v>
      </c>
      <c r="M81" s="245"/>
      <c r="N81" s="819">
        <f>데이터입력!AE41</f>
        <v>0</v>
      </c>
      <c r="O81" s="820" t="str">
        <f t="shared" ref="O81" si="32">IF(R81="","","x ")</f>
        <v xml:space="preserve">x </v>
      </c>
      <c r="P81" s="821"/>
      <c r="Q81" s="820" t="str">
        <f t="shared" ref="Q81" si="33">IF(R81="","","x ")</f>
        <v xml:space="preserve">x </v>
      </c>
      <c r="R81" s="822">
        <f>IF(OR(데이터입력!AF41=0,데이터입력!AF41=""),데이터입력!$Y$8,데이터입력!AF41)</f>
        <v>12</v>
      </c>
      <c r="S81" s="820"/>
      <c r="T81" s="820" t="s">
        <v>405</v>
      </c>
      <c r="U81" s="820"/>
      <c r="V81" s="823">
        <f t="shared" si="28"/>
        <v>0</v>
      </c>
      <c r="W81" s="825"/>
      <c r="X81" s="825"/>
      <c r="Y81" s="825"/>
      <c r="Z81" s="229"/>
      <c r="AA81" s="229"/>
      <c r="AB81" s="230"/>
    </row>
    <row r="82" spans="1:28">
      <c r="A82" s="117"/>
      <c r="B82" s="117"/>
      <c r="C82" s="117"/>
      <c r="D82" s="117"/>
      <c r="E82" s="117"/>
      <c r="F82" s="851" t="s">
        <v>418</v>
      </c>
      <c r="G82" s="852" t="s">
        <v>381</v>
      </c>
      <c r="H82" s="853">
        <f>IFERROR(IF(VLOOKUP(K82,데이터입력!$C$42:$L$137,5,FALSE)&lt;1000,ROUNDUP(VLOOKUP(K82,데이터입력!$C$42:$L$137,5,FALSE)*1/1000,0),ROUND(VLOOKUP(K82,데이터입력!$C$42:$L$137,5,FALSE)*1/1000,0)),0)</f>
        <v>0</v>
      </c>
      <c r="I82" s="853">
        <f t="shared" ref="I82:I83" si="34">IFERROR(IF(F82="06",IF(V82&lt;1000,ROUNDUP((V82)*1/1000,0),ROUND((V82)*1/1000,0)),IF(F82="07",IF(W82&lt;1000,ROUNDUP((W82)*1/1000,0),ROUND((W82)*1/1000,0)),IF(F82="05",IF(X82&lt;1000,ROUNDUP((X82)*1/1000,0),ROUND((X82)*1/1000,0))))),0)</f>
        <v>0</v>
      </c>
      <c r="J82" s="854">
        <f>I82-H82</f>
        <v>0</v>
      </c>
      <c r="K82" s="231" t="str">
        <f>L82&amp;"("&amp;G82&amp;")"</f>
        <v>기관운영비(보조금)</v>
      </c>
      <c r="L82" s="239" t="str">
        <f>L74</f>
        <v>기관운영비</v>
      </c>
      <c r="M82" s="240"/>
      <c r="N82" s="855">
        <f>IF(R82="",AA74,ROUNDUP(AA74/R82,-3))</f>
        <v>0</v>
      </c>
      <c r="O82" s="1135" t="str">
        <f t="shared" ref="O82:O83" si="35">IF(P82="","","x ")</f>
        <v/>
      </c>
      <c r="P82" s="857"/>
      <c r="Q82" s="856" t="s">
        <v>404</v>
      </c>
      <c r="R82" s="858">
        <f>IF(VLOOKUP($L82,데이터입력!$R$103:$U$132,4,FALSE)="",데이터입력!$Y$8,VLOOKUP($L82,데이터입력!$R$103:$U$132,4,FALSE))</f>
        <v>12</v>
      </c>
      <c r="S82" s="856"/>
      <c r="T82" s="856" t="s">
        <v>405</v>
      </c>
      <c r="U82" s="856"/>
      <c r="V82" s="861"/>
      <c r="W82" s="861">
        <f>IF(P82=0,N82*R82,N82*P82*R82)</f>
        <v>0</v>
      </c>
      <c r="X82" s="861"/>
      <c r="Y82" s="861"/>
      <c r="Z82" s="230"/>
      <c r="AA82" s="230"/>
      <c r="AB82" s="230"/>
    </row>
    <row r="83" spans="1:28">
      <c r="A83" s="117"/>
      <c r="B83" s="117"/>
      <c r="C83" s="117"/>
      <c r="D83" s="117"/>
      <c r="E83" s="117"/>
      <c r="F83" s="862" t="s">
        <v>85</v>
      </c>
      <c r="G83" s="863" t="s">
        <v>19</v>
      </c>
      <c r="H83" s="864">
        <f>IFERROR(IF(VLOOKUP(K83,데이터입력!$C$42:$L$137,5,FALSE)&lt;1000,ROUNDUP(VLOOKUP(K83,데이터입력!$C$42:$L$137,5,FALSE)*1/1000,0),ROUND(VLOOKUP(K83,데이터입력!$C$42:$L$137,5,FALSE)*1/1000,0)),0)</f>
        <v>0</v>
      </c>
      <c r="I83" s="864">
        <f t="shared" si="34"/>
        <v>0</v>
      </c>
      <c r="J83" s="865">
        <f>I83-H83</f>
        <v>0</v>
      </c>
      <c r="K83" s="232" t="str">
        <f t="shared" ref="K83" si="36">L83&amp;"("&amp;G83&amp;")"</f>
        <v>기관운영비(후원금)</v>
      </c>
      <c r="L83" s="241" t="str">
        <f>L74</f>
        <v>기관운영비</v>
      </c>
      <c r="M83" s="242"/>
      <c r="N83" s="866">
        <f>IF(R83="",AB74,ROUNDUP(AB74/R83,-3))</f>
        <v>0</v>
      </c>
      <c r="O83" s="1134" t="str">
        <f t="shared" si="35"/>
        <v/>
      </c>
      <c r="P83" s="868"/>
      <c r="Q83" s="867" t="s">
        <v>404</v>
      </c>
      <c r="R83" s="869">
        <f>IF(VLOOKUP($L83,데이터입력!$R$133:$U$158,4,FALSE)="",데이터입력!$Y$8,VLOOKUP($L83,데이터입력!$R$133:$U$158,4,FALSE))</f>
        <v>12</v>
      </c>
      <c r="S83" s="867"/>
      <c r="T83" s="867" t="s">
        <v>405</v>
      </c>
      <c r="U83" s="867"/>
      <c r="V83" s="872"/>
      <c r="W83" s="872"/>
      <c r="X83" s="871">
        <f>IF(P83=0,N83*R83,N83*P83*R83)</f>
        <v>0</v>
      </c>
      <c r="Y83" s="871"/>
      <c r="Z83" s="100"/>
      <c r="AA83" s="100"/>
      <c r="AB83" s="100"/>
    </row>
    <row r="84" spans="1:28">
      <c r="A84" s="117"/>
      <c r="B84" s="117"/>
      <c r="C84" s="107" t="s">
        <v>51</v>
      </c>
      <c r="D84" s="107" t="s">
        <v>51</v>
      </c>
      <c r="E84" s="107">
        <v>501020201</v>
      </c>
      <c r="F84" s="839" t="s">
        <v>83</v>
      </c>
      <c r="G84" s="840" t="s">
        <v>6</v>
      </c>
      <c r="H84" s="841">
        <f>IFERROR(IF(VLOOKUP(K84,데이터입력!$C$42:$L$137,5,FALSE)&lt;1000,ROUNDUP(VLOOKUP(K84,데이터입력!$C$42:$L$137,5,FALSE)*1/1000,0),ROUND(VLOOKUP(K84,데이터입력!$C$42:$L$137,5,FALSE)*1/1000,0)),0)</f>
        <v>12000</v>
      </c>
      <c r="I84" s="841">
        <f>IFERROR(IF(F84="06",IF(V84&lt;1000,ROUNDUP((V84)*1/1000,0),ROUND((V84)*1/1000,0)),IF(F84="07",IF(W84&lt;1000,ROUNDUP((W84)*1/1000,0),ROUND((W84)*1/1000,0)),IF(F84="05",IF(X84&lt;1000,ROUNDUP((X84)*1/1000,0),ROUND((X84)*1/1000,0))))),0)</f>
        <v>12000</v>
      </c>
      <c r="J84" s="841">
        <f>I84-H84</f>
        <v>0</v>
      </c>
      <c r="K84" s="842" t="str">
        <f>L84&amp;"("&amp;G84&amp;")"</f>
        <v>직책보조비(수익사업)</v>
      </c>
      <c r="L84" s="111" t="str">
        <f>D84</f>
        <v>직책보조비</v>
      </c>
      <c r="M84" s="112"/>
      <c r="N84" s="843"/>
      <c r="O84" s="844"/>
      <c r="P84" s="843"/>
      <c r="Q84" s="844"/>
      <c r="R84" s="843"/>
      <c r="S84" s="844"/>
      <c r="T84" s="844"/>
      <c r="U84" s="844"/>
      <c r="V84" s="845">
        <f>SUM(V85:V92)</f>
        <v>12000000</v>
      </c>
      <c r="W84" s="845">
        <f>SUM(W85:W93)</f>
        <v>0</v>
      </c>
      <c r="X84" s="845">
        <f>SUM(X85:X93)</f>
        <v>0</v>
      </c>
      <c r="Y84" s="845">
        <f>SUM(V84:X84)</f>
        <v>12000000</v>
      </c>
      <c r="Z84" s="228">
        <f>IFERROR(VLOOKUP($L84,데이터입력!$R$70:$U$102,3,FALSE),0)</f>
        <v>12000000</v>
      </c>
      <c r="AA84" s="228">
        <f>IFERROR(VLOOKUP($L92,데이터입력!$R$103:$U$132,3,FALSE),0)</f>
        <v>0</v>
      </c>
      <c r="AB84" s="228">
        <f>IFERROR(VLOOKUP($L93,데이터입력!$R$133:$U$158,3,FALSE),0)</f>
        <v>0</v>
      </c>
    </row>
    <row r="85" spans="1:28">
      <c r="A85" s="117"/>
      <c r="B85" s="117"/>
      <c r="C85" s="117"/>
      <c r="D85" s="117"/>
      <c r="E85" s="117"/>
      <c r="F85" s="846"/>
      <c r="G85" s="847"/>
      <c r="H85" s="848"/>
      <c r="I85" s="848"/>
      <c r="J85" s="848"/>
      <c r="K85" s="850"/>
      <c r="L85" s="244" t="str">
        <f>"  - "&amp;데이터입력!X35</f>
        <v xml:space="preserve">  - 직책보조비</v>
      </c>
      <c r="M85" s="210"/>
      <c r="N85" s="819">
        <f>데이터입력!Y35</f>
        <v>1000000</v>
      </c>
      <c r="O85" s="120" t="str">
        <f t="shared" ref="O85:O91" si="37">IF(P85="","","x ")</f>
        <v/>
      </c>
      <c r="P85" s="821"/>
      <c r="Q85" s="820" t="str">
        <f>IF(R85="","","x ")</f>
        <v xml:space="preserve">x </v>
      </c>
      <c r="R85" s="822">
        <f>IF(VLOOKUP($L84,데이터입력!$R$70:$U$102,4,FALSE)="",데이터입력!$Y$8,VLOOKUP($L84,데이터입력!$R$70:$U$102,4,FALSE))</f>
        <v>12</v>
      </c>
      <c r="S85" s="820"/>
      <c r="T85" s="820" t="s">
        <v>405</v>
      </c>
      <c r="U85" s="820"/>
      <c r="V85" s="823">
        <f>IF(R85="",N85,N85*R85)</f>
        <v>12000000</v>
      </c>
      <c r="W85" s="825"/>
      <c r="X85" s="825"/>
      <c r="Y85" s="825"/>
      <c r="Z85" s="229"/>
      <c r="AA85" s="229"/>
      <c r="AB85" s="230"/>
    </row>
    <row r="86" spans="1:28">
      <c r="A86" s="117"/>
      <c r="B86" s="117"/>
      <c r="C86" s="117"/>
      <c r="D86" s="117"/>
      <c r="E86" s="117"/>
      <c r="F86" s="846"/>
      <c r="G86" s="847"/>
      <c r="H86" s="848"/>
      <c r="I86" s="848"/>
      <c r="J86" s="848"/>
      <c r="K86" s="850"/>
      <c r="L86" s="244" t="str">
        <f>"  - "&amp;데이터입력!X36</f>
        <v xml:space="preserve">  - </v>
      </c>
      <c r="M86" s="210"/>
      <c r="N86" s="819">
        <f>데이터입력!Y36</f>
        <v>0</v>
      </c>
      <c r="O86" s="120" t="str">
        <f t="shared" si="37"/>
        <v/>
      </c>
      <c r="P86" s="821"/>
      <c r="Q86" s="820" t="s">
        <v>404</v>
      </c>
      <c r="R86" s="822">
        <f>데이터입력!$Y$8</f>
        <v>12</v>
      </c>
      <c r="S86" s="820"/>
      <c r="T86" s="820" t="s">
        <v>405</v>
      </c>
      <c r="U86" s="820"/>
      <c r="V86" s="823">
        <f t="shared" ref="V86:V91" si="38">IF(R86="",N86,N86*R86)</f>
        <v>0</v>
      </c>
      <c r="W86" s="825"/>
      <c r="X86" s="825"/>
      <c r="Y86" s="825"/>
      <c r="Z86" s="229"/>
      <c r="AA86" s="229"/>
      <c r="AB86" s="230"/>
    </row>
    <row r="87" spans="1:28" hidden="1">
      <c r="A87" s="117"/>
      <c r="B87" s="117"/>
      <c r="C87" s="117"/>
      <c r="D87" s="117"/>
      <c r="E87" s="117"/>
      <c r="F87" s="846"/>
      <c r="G87" s="847"/>
      <c r="H87" s="848"/>
      <c r="I87" s="848"/>
      <c r="J87" s="848"/>
      <c r="K87" s="850"/>
      <c r="L87" s="244" t="str">
        <f>"  - "&amp;데이터입력!X37</f>
        <v xml:space="preserve">  - </v>
      </c>
      <c r="M87" s="210"/>
      <c r="N87" s="819">
        <f>데이터입력!Y37</f>
        <v>0</v>
      </c>
      <c r="O87" s="120" t="str">
        <f t="shared" si="37"/>
        <v/>
      </c>
      <c r="P87" s="821"/>
      <c r="Q87" s="820" t="s">
        <v>404</v>
      </c>
      <c r="R87" s="822">
        <f>데이터입력!$Y$8</f>
        <v>12</v>
      </c>
      <c r="S87" s="820"/>
      <c r="T87" s="820" t="s">
        <v>405</v>
      </c>
      <c r="U87" s="820"/>
      <c r="V87" s="823">
        <f t="shared" si="38"/>
        <v>0</v>
      </c>
      <c r="W87" s="825"/>
      <c r="X87" s="825"/>
      <c r="Y87" s="825"/>
      <c r="Z87" s="229"/>
      <c r="AA87" s="229"/>
      <c r="AB87" s="230"/>
    </row>
    <row r="88" spans="1:28" hidden="1">
      <c r="A88" s="117"/>
      <c r="B88" s="117"/>
      <c r="C88" s="117"/>
      <c r="D88" s="117"/>
      <c r="E88" s="117"/>
      <c r="F88" s="846"/>
      <c r="G88" s="847"/>
      <c r="H88" s="848"/>
      <c r="I88" s="848"/>
      <c r="J88" s="848"/>
      <c r="K88" s="850"/>
      <c r="L88" s="244" t="str">
        <f>"  - "&amp;데이터입력!X38</f>
        <v xml:space="preserve">  - </v>
      </c>
      <c r="M88" s="210"/>
      <c r="N88" s="819">
        <f>데이터입력!Y38</f>
        <v>0</v>
      </c>
      <c r="O88" s="120" t="str">
        <f t="shared" si="37"/>
        <v/>
      </c>
      <c r="P88" s="821"/>
      <c r="Q88" s="820" t="s">
        <v>404</v>
      </c>
      <c r="R88" s="822">
        <f>데이터입력!$Y$8</f>
        <v>12</v>
      </c>
      <c r="S88" s="820"/>
      <c r="T88" s="820" t="s">
        <v>405</v>
      </c>
      <c r="U88" s="820"/>
      <c r="V88" s="823">
        <f t="shared" si="38"/>
        <v>0</v>
      </c>
      <c r="W88" s="825"/>
      <c r="X88" s="825"/>
      <c r="Y88" s="825"/>
      <c r="Z88" s="229"/>
      <c r="AA88" s="229"/>
      <c r="AB88" s="230"/>
    </row>
    <row r="89" spans="1:28" hidden="1">
      <c r="A89" s="117"/>
      <c r="B89" s="117"/>
      <c r="C89" s="117"/>
      <c r="D89" s="117"/>
      <c r="E89" s="117"/>
      <c r="F89" s="846"/>
      <c r="G89" s="847"/>
      <c r="H89" s="848"/>
      <c r="I89" s="848"/>
      <c r="J89" s="848"/>
      <c r="K89" s="850"/>
      <c r="L89" s="244" t="str">
        <f>"  - "&amp;데이터입력!X39</f>
        <v xml:space="preserve">  - </v>
      </c>
      <c r="M89" s="210"/>
      <c r="N89" s="819">
        <f>데이터입력!Y39</f>
        <v>0</v>
      </c>
      <c r="O89" s="120" t="str">
        <f t="shared" si="37"/>
        <v/>
      </c>
      <c r="P89" s="821"/>
      <c r="Q89" s="820" t="s">
        <v>404</v>
      </c>
      <c r="R89" s="822">
        <f>데이터입력!$Y$8</f>
        <v>12</v>
      </c>
      <c r="S89" s="820"/>
      <c r="T89" s="820" t="s">
        <v>405</v>
      </c>
      <c r="U89" s="820"/>
      <c r="V89" s="823">
        <f t="shared" si="38"/>
        <v>0</v>
      </c>
      <c r="W89" s="825"/>
      <c r="X89" s="825"/>
      <c r="Y89" s="825"/>
      <c r="Z89" s="229"/>
      <c r="AA89" s="229"/>
      <c r="AB89" s="230"/>
    </row>
    <row r="90" spans="1:28" hidden="1">
      <c r="A90" s="117"/>
      <c r="B90" s="117"/>
      <c r="C90" s="117"/>
      <c r="D90" s="117"/>
      <c r="E90" s="117"/>
      <c r="F90" s="846"/>
      <c r="G90" s="847"/>
      <c r="H90" s="848"/>
      <c r="I90" s="848"/>
      <c r="J90" s="848"/>
      <c r="K90" s="850"/>
      <c r="L90" s="244" t="str">
        <f>"  - "&amp;데이터입력!X40</f>
        <v xml:space="preserve">  - </v>
      </c>
      <c r="M90" s="210"/>
      <c r="N90" s="819">
        <f>데이터입력!Y40</f>
        <v>0</v>
      </c>
      <c r="O90" s="120" t="str">
        <f t="shared" si="37"/>
        <v/>
      </c>
      <c r="P90" s="821"/>
      <c r="Q90" s="820" t="s">
        <v>404</v>
      </c>
      <c r="R90" s="822">
        <f>데이터입력!$Y$8</f>
        <v>12</v>
      </c>
      <c r="S90" s="820"/>
      <c r="T90" s="820" t="s">
        <v>405</v>
      </c>
      <c r="U90" s="820"/>
      <c r="V90" s="823">
        <f t="shared" si="38"/>
        <v>0</v>
      </c>
      <c r="W90" s="825"/>
      <c r="X90" s="825"/>
      <c r="Y90" s="825"/>
      <c r="Z90" s="229"/>
      <c r="AA90" s="229"/>
      <c r="AB90" s="230"/>
    </row>
    <row r="91" spans="1:28" hidden="1">
      <c r="A91" s="117"/>
      <c r="B91" s="117"/>
      <c r="C91" s="117"/>
      <c r="D91" s="117"/>
      <c r="E91" s="117"/>
      <c r="F91" s="846"/>
      <c r="G91" s="847"/>
      <c r="H91" s="848"/>
      <c r="I91" s="848"/>
      <c r="J91" s="848"/>
      <c r="K91" s="850"/>
      <c r="L91" s="244" t="str">
        <f>"  - "&amp;데이터입력!X41</f>
        <v xml:space="preserve">  - </v>
      </c>
      <c r="M91" s="210"/>
      <c r="N91" s="819">
        <f>데이터입력!Y41</f>
        <v>0</v>
      </c>
      <c r="O91" s="120" t="str">
        <f t="shared" si="37"/>
        <v/>
      </c>
      <c r="P91" s="821"/>
      <c r="Q91" s="820" t="s">
        <v>404</v>
      </c>
      <c r="R91" s="822">
        <f>데이터입력!$Y$8</f>
        <v>12</v>
      </c>
      <c r="S91" s="820"/>
      <c r="T91" s="820" t="s">
        <v>405</v>
      </c>
      <c r="U91" s="820"/>
      <c r="V91" s="823">
        <f t="shared" si="38"/>
        <v>0</v>
      </c>
      <c r="W91" s="825"/>
      <c r="X91" s="825"/>
      <c r="Y91" s="825"/>
      <c r="Z91" s="229"/>
      <c r="AA91" s="229"/>
      <c r="AB91" s="230"/>
    </row>
    <row r="92" spans="1:28">
      <c r="A92" s="117"/>
      <c r="B92" s="117"/>
      <c r="C92" s="117"/>
      <c r="D92" s="117"/>
      <c r="E92" s="117"/>
      <c r="F92" s="862" t="s">
        <v>418</v>
      </c>
      <c r="G92" s="863" t="s">
        <v>381</v>
      </c>
      <c r="H92" s="864">
        <f>IFERROR(IF(VLOOKUP(K92,데이터입력!$C$42:$L$137,5,FALSE)&lt;1000,ROUNDUP(VLOOKUP(K92,데이터입력!$C$42:$L$137,5,FALSE)*1/1000,0),ROUND(VLOOKUP(K92,데이터입력!$C$42:$L$137,5,FALSE)*1/1000,0)),0)</f>
        <v>0</v>
      </c>
      <c r="I92" s="864">
        <f t="shared" ref="I92" si="39">IFERROR(IF(F92="06",IF(V92&lt;1000,ROUNDUP((V92)*1/1000,0),ROUND((V92)*1/1000,0)),IF(F92="07",IF(W92&lt;1000,ROUNDUP((W92)*1/1000,0),ROUND((W92)*1/1000,0)),IF(F92="05",IF(X92&lt;1000,ROUNDUP((X92)*1/1000,0),ROUND((X92)*1/1000,0))))),0)</f>
        <v>0</v>
      </c>
      <c r="J92" s="865">
        <f>I92-H92</f>
        <v>0</v>
      </c>
      <c r="K92" s="232" t="str">
        <f>L92&amp;"("&amp;G92&amp;")"</f>
        <v>직책보조비(보조금)</v>
      </c>
      <c r="L92" s="241" t="str">
        <f>L84</f>
        <v>직책보조비</v>
      </c>
      <c r="M92" s="242"/>
      <c r="N92" s="866">
        <f>IF(R92="",AA84,ROUND(AA84/R92,-3))</f>
        <v>0</v>
      </c>
      <c r="O92" s="1134" t="str">
        <f t="shared" ref="O92" si="40">IF(P92="","","x ")</f>
        <v/>
      </c>
      <c r="P92" s="868"/>
      <c r="Q92" s="867" t="s">
        <v>404</v>
      </c>
      <c r="R92" s="869">
        <f>IF(VLOOKUP($L92,데이터입력!$R$103:$U$132,4,FALSE)="",데이터입력!$Y$8,VLOOKUP($L92,데이터입력!$R$103:$U$132,4,FALSE))</f>
        <v>12</v>
      </c>
      <c r="S92" s="867"/>
      <c r="T92" s="867" t="s">
        <v>405</v>
      </c>
      <c r="U92" s="867"/>
      <c r="V92" s="871"/>
      <c r="W92" s="871">
        <f>IF(P92=0,N92*R92,N92*P92*R92)</f>
        <v>0</v>
      </c>
      <c r="X92" s="872"/>
      <c r="Y92" s="872"/>
      <c r="Z92" s="230"/>
      <c r="AA92" s="230"/>
      <c r="AB92" s="230"/>
    </row>
    <row r="93" spans="1:28">
      <c r="A93" s="117"/>
      <c r="B93" s="117"/>
      <c r="C93" s="107" t="s">
        <v>52</v>
      </c>
      <c r="D93" s="107" t="s">
        <v>52</v>
      </c>
      <c r="E93" s="107">
        <v>501020301</v>
      </c>
      <c r="F93" s="839" t="s">
        <v>83</v>
      </c>
      <c r="G93" s="840" t="s">
        <v>6</v>
      </c>
      <c r="H93" s="841">
        <f>IFERROR(IF(VLOOKUP(K93,데이터입력!$C$42:$L$137,5,FALSE)&lt;1000,ROUNDUP(VLOOKUP(K93,데이터입력!$C$42:$L$137,5,FALSE)*1/1000,0),ROUND(VLOOKUP(K93,데이터입력!$C$42:$L$137,5,FALSE)*1/1000,0)),0)</f>
        <v>756</v>
      </c>
      <c r="I93" s="841">
        <f>IFERROR(IF(F93="06",IF(V93&lt;1000,ROUNDUP((V93)*1/1000,0),ROUND((V93)*1/1000,0)),IF(F93="07",IF(W93&lt;1000,ROUNDUP((W93)*1/1000,0),ROUND((W93)*1/1000,0)),IF(F93="05",IF(X93&lt;1000,ROUNDUP((X93)*1/1000,0),ROUND((X93)*1/1000,0))))),0)</f>
        <v>756</v>
      </c>
      <c r="J93" s="841">
        <f>I93-H93</f>
        <v>0</v>
      </c>
      <c r="K93" s="842" t="str">
        <f>L93&amp;"("&amp;G93&amp;")"</f>
        <v>회의비(수익사업)</v>
      </c>
      <c r="L93" s="111" t="str">
        <f>D93</f>
        <v>회의비</v>
      </c>
      <c r="M93" s="112"/>
      <c r="N93" s="843"/>
      <c r="O93" s="844"/>
      <c r="P93" s="843"/>
      <c r="Q93" s="844"/>
      <c r="R93" s="843"/>
      <c r="S93" s="844"/>
      <c r="T93" s="844"/>
      <c r="U93" s="844"/>
      <c r="V93" s="845">
        <f>SUM(V94:V102)</f>
        <v>756000</v>
      </c>
      <c r="W93" s="845">
        <f>SUM(W94:W102)</f>
        <v>0</v>
      </c>
      <c r="X93" s="845">
        <f>SUM(X94:X102)</f>
        <v>0</v>
      </c>
      <c r="Y93" s="845">
        <f>SUM(V93:X93)</f>
        <v>756000</v>
      </c>
      <c r="Z93" s="228">
        <f>IFERROR(VLOOKUP($L93,데이터입력!$R$70:$U$102,3,FALSE),0)</f>
        <v>756000</v>
      </c>
      <c r="AA93" s="228">
        <f>IFERROR(VLOOKUP($L101,데이터입력!$R$103:$U$132,3,FALSE),0)</f>
        <v>0</v>
      </c>
      <c r="AB93" s="228">
        <f>IFERROR(VLOOKUP($L102,데이터입력!$R$133:$U$158,3,FALSE),0)</f>
        <v>0</v>
      </c>
    </row>
    <row r="94" spans="1:28">
      <c r="A94" s="117"/>
      <c r="B94" s="117"/>
      <c r="C94" s="117"/>
      <c r="D94" s="117"/>
      <c r="E94" s="117"/>
      <c r="F94" s="846"/>
      <c r="G94" s="847"/>
      <c r="H94" s="848"/>
      <c r="I94" s="848"/>
      <c r="J94" s="848"/>
      <c r="K94" s="849"/>
      <c r="L94" s="244" t="str">
        <f>"  - "&amp;데이터입력!Z35</f>
        <v xml:space="preserve">  - 회의비</v>
      </c>
      <c r="M94" s="210"/>
      <c r="N94" s="819">
        <f>데이터입력!AA35</f>
        <v>189000</v>
      </c>
      <c r="O94" s="120" t="str">
        <f t="shared" ref="O94:O100" si="41">IF(P94="","","x ")</f>
        <v/>
      </c>
      <c r="P94" s="821"/>
      <c r="Q94" s="820" t="str">
        <f>IF(R94="","","x ")</f>
        <v xml:space="preserve">x </v>
      </c>
      <c r="R94" s="822">
        <f>IF(VLOOKUP($L93,데이터입력!$R$70:$U$102,4,FALSE)="",데이터입력!$Y$8,VLOOKUP($L93,데이터입력!$R$70:$U$102,4,FALSE))</f>
        <v>4</v>
      </c>
      <c r="S94" s="820"/>
      <c r="T94" s="820" t="s">
        <v>405</v>
      </c>
      <c r="U94" s="820"/>
      <c r="V94" s="823">
        <f>IF(R94="",N94,N94*R94)</f>
        <v>756000</v>
      </c>
      <c r="W94" s="825"/>
      <c r="X94" s="825"/>
      <c r="Y94" s="825"/>
      <c r="Z94" s="229"/>
      <c r="AA94" s="229"/>
      <c r="AB94" s="230"/>
    </row>
    <row r="95" spans="1:28">
      <c r="A95" s="117"/>
      <c r="B95" s="117"/>
      <c r="C95" s="117"/>
      <c r="D95" s="117"/>
      <c r="E95" s="117"/>
      <c r="F95" s="846"/>
      <c r="G95" s="847"/>
      <c r="H95" s="848"/>
      <c r="I95" s="848"/>
      <c r="J95" s="848"/>
      <c r="K95" s="850"/>
      <c r="L95" s="244" t="str">
        <f>"  - "&amp;데이터입력!Z36</f>
        <v xml:space="preserve">  - </v>
      </c>
      <c r="M95" s="210"/>
      <c r="N95" s="819">
        <f>데이터입력!AA36</f>
        <v>0</v>
      </c>
      <c r="O95" s="120" t="str">
        <f t="shared" si="41"/>
        <v/>
      </c>
      <c r="P95" s="821"/>
      <c r="Q95" s="820" t="str">
        <f t="shared" ref="Q95:Q100" si="42">IF(R95="","","x ")</f>
        <v xml:space="preserve">x </v>
      </c>
      <c r="R95" s="822">
        <f>IF(VLOOKUP($L93,데이터입력!$R$70:$U$102,4,FALSE)="",데이터입력!$Y$8,VLOOKUP($L93,데이터입력!$R$70:$U$102,4,FALSE))</f>
        <v>4</v>
      </c>
      <c r="S95" s="820"/>
      <c r="T95" s="820" t="s">
        <v>405</v>
      </c>
      <c r="U95" s="820"/>
      <c r="V95" s="823">
        <f>IF(P95=0,N95*R95,N95*P95*R95)</f>
        <v>0</v>
      </c>
      <c r="W95" s="825"/>
      <c r="X95" s="825"/>
      <c r="Y95" s="825"/>
      <c r="Z95" s="229"/>
      <c r="AA95" s="229"/>
      <c r="AB95" s="230"/>
    </row>
    <row r="96" spans="1:28" hidden="1">
      <c r="A96" s="117"/>
      <c r="B96" s="117"/>
      <c r="C96" s="117"/>
      <c r="D96" s="117"/>
      <c r="E96" s="117"/>
      <c r="F96" s="846"/>
      <c r="G96" s="847"/>
      <c r="H96" s="848"/>
      <c r="I96" s="848"/>
      <c r="J96" s="848"/>
      <c r="K96" s="850"/>
      <c r="L96" s="244" t="str">
        <f>"  - "&amp;데이터입력!Z37</f>
        <v xml:space="preserve">  - </v>
      </c>
      <c r="M96" s="210"/>
      <c r="N96" s="819">
        <f>데이터입력!AA37</f>
        <v>0</v>
      </c>
      <c r="O96" s="120" t="str">
        <f t="shared" si="41"/>
        <v/>
      </c>
      <c r="P96" s="821"/>
      <c r="Q96" s="820" t="str">
        <f t="shared" si="42"/>
        <v xml:space="preserve">x </v>
      </c>
      <c r="R96" s="822">
        <f>IF(VLOOKUP($L93,데이터입력!$R$70:$U$102,4,FALSE)="",데이터입력!$Y$8,VLOOKUP($L93,데이터입력!$R$70:$U$102,4,FALSE))</f>
        <v>4</v>
      </c>
      <c r="S96" s="820"/>
      <c r="T96" s="820" t="s">
        <v>405</v>
      </c>
      <c r="U96" s="820"/>
      <c r="V96" s="823"/>
      <c r="W96" s="825"/>
      <c r="X96" s="825"/>
      <c r="Y96" s="825"/>
      <c r="Z96" s="229"/>
      <c r="AA96" s="229"/>
      <c r="AB96" s="230"/>
    </row>
    <row r="97" spans="1:28" hidden="1">
      <c r="A97" s="117"/>
      <c r="B97" s="117"/>
      <c r="C97" s="117"/>
      <c r="D97" s="117"/>
      <c r="E97" s="117"/>
      <c r="F97" s="846"/>
      <c r="G97" s="847"/>
      <c r="H97" s="848"/>
      <c r="I97" s="848"/>
      <c r="J97" s="848"/>
      <c r="K97" s="850"/>
      <c r="L97" s="244" t="str">
        <f>"  - "&amp;데이터입력!Z38</f>
        <v xml:space="preserve">  - </v>
      </c>
      <c r="M97" s="210"/>
      <c r="N97" s="819">
        <f>데이터입력!AA38</f>
        <v>0</v>
      </c>
      <c r="O97" s="120" t="str">
        <f t="shared" si="41"/>
        <v/>
      </c>
      <c r="P97" s="821"/>
      <c r="Q97" s="820" t="str">
        <f t="shared" si="42"/>
        <v xml:space="preserve">x </v>
      </c>
      <c r="R97" s="822">
        <f>IF(VLOOKUP($L93,데이터입력!$R$70:$U$102,4,FALSE)="",데이터입력!$Y$8,VLOOKUP($L93,데이터입력!$R$70:$U$102,4,FALSE))</f>
        <v>4</v>
      </c>
      <c r="S97" s="820"/>
      <c r="T97" s="820" t="s">
        <v>405</v>
      </c>
      <c r="U97" s="820"/>
      <c r="V97" s="823"/>
      <c r="W97" s="825"/>
      <c r="X97" s="825"/>
      <c r="Y97" s="825"/>
      <c r="Z97" s="229"/>
      <c r="AA97" s="229"/>
      <c r="AB97" s="230"/>
    </row>
    <row r="98" spans="1:28" hidden="1">
      <c r="A98" s="117"/>
      <c r="B98" s="117"/>
      <c r="C98" s="117"/>
      <c r="D98" s="117"/>
      <c r="E98" s="117"/>
      <c r="F98" s="846"/>
      <c r="G98" s="847"/>
      <c r="H98" s="848"/>
      <c r="I98" s="848"/>
      <c r="J98" s="848"/>
      <c r="K98" s="850"/>
      <c r="L98" s="244" t="str">
        <f>"  - "&amp;데이터입력!Z39</f>
        <v xml:space="preserve">  - </v>
      </c>
      <c r="M98" s="210"/>
      <c r="N98" s="819">
        <f>데이터입력!AA39</f>
        <v>0</v>
      </c>
      <c r="O98" s="120" t="str">
        <f t="shared" si="41"/>
        <v/>
      </c>
      <c r="P98" s="821"/>
      <c r="Q98" s="820" t="str">
        <f t="shared" si="42"/>
        <v xml:space="preserve">x </v>
      </c>
      <c r="R98" s="822">
        <f>IF(VLOOKUP($L93,데이터입력!$R$70:$U$102,4,FALSE)="",데이터입력!$Y$8,VLOOKUP($L93,데이터입력!$R$70:$U$102,4,FALSE))</f>
        <v>4</v>
      </c>
      <c r="S98" s="820"/>
      <c r="T98" s="820" t="s">
        <v>405</v>
      </c>
      <c r="U98" s="820"/>
      <c r="V98" s="823"/>
      <c r="W98" s="825"/>
      <c r="X98" s="825"/>
      <c r="Y98" s="825"/>
      <c r="Z98" s="229"/>
      <c r="AA98" s="229"/>
      <c r="AB98" s="230"/>
    </row>
    <row r="99" spans="1:28" hidden="1">
      <c r="A99" s="117"/>
      <c r="B99" s="117"/>
      <c r="C99" s="117"/>
      <c r="D99" s="117"/>
      <c r="E99" s="117"/>
      <c r="F99" s="846"/>
      <c r="G99" s="847"/>
      <c r="H99" s="848"/>
      <c r="I99" s="848"/>
      <c r="J99" s="848"/>
      <c r="K99" s="850"/>
      <c r="L99" s="244" t="str">
        <f>"  - "&amp;데이터입력!Z40</f>
        <v xml:space="preserve">  - </v>
      </c>
      <c r="M99" s="210"/>
      <c r="N99" s="819">
        <f>데이터입력!AA40</f>
        <v>0</v>
      </c>
      <c r="O99" s="120" t="str">
        <f t="shared" si="41"/>
        <v/>
      </c>
      <c r="P99" s="821"/>
      <c r="Q99" s="820" t="str">
        <f t="shared" si="42"/>
        <v xml:space="preserve">x </v>
      </c>
      <c r="R99" s="822">
        <f>IF(VLOOKUP($L93,데이터입력!$R$70:$U$102,4,FALSE)="",데이터입력!$Y$8,VLOOKUP($L93,데이터입력!$R$70:$U$102,4,FALSE))</f>
        <v>4</v>
      </c>
      <c r="S99" s="820"/>
      <c r="T99" s="820" t="s">
        <v>405</v>
      </c>
      <c r="U99" s="820"/>
      <c r="V99" s="823"/>
      <c r="W99" s="825"/>
      <c r="X99" s="825"/>
      <c r="Y99" s="825"/>
      <c r="Z99" s="229"/>
      <c r="AA99" s="229"/>
      <c r="AB99" s="230"/>
    </row>
    <row r="100" spans="1:28" hidden="1">
      <c r="A100" s="117"/>
      <c r="B100" s="117"/>
      <c r="C100" s="117"/>
      <c r="D100" s="117"/>
      <c r="E100" s="117"/>
      <c r="F100" s="846"/>
      <c r="G100" s="847"/>
      <c r="H100" s="848"/>
      <c r="I100" s="848"/>
      <c r="J100" s="848"/>
      <c r="K100" s="850"/>
      <c r="L100" s="244" t="str">
        <f>"  - "&amp;데이터입력!Z41</f>
        <v xml:space="preserve">  - </v>
      </c>
      <c r="M100" s="210"/>
      <c r="N100" s="819">
        <f>데이터입력!AA41</f>
        <v>0</v>
      </c>
      <c r="O100" s="120" t="str">
        <f t="shared" si="41"/>
        <v/>
      </c>
      <c r="P100" s="821"/>
      <c r="Q100" s="820" t="str">
        <f t="shared" si="42"/>
        <v xml:space="preserve">x </v>
      </c>
      <c r="R100" s="822">
        <f>IF(VLOOKUP($L93,데이터입력!$R$70:$U$102,4,FALSE)="",데이터입력!$Y$8,VLOOKUP($L93,데이터입력!$R$70:$U$102,4,FALSE))</f>
        <v>4</v>
      </c>
      <c r="S100" s="820"/>
      <c r="T100" s="820" t="s">
        <v>405</v>
      </c>
      <c r="U100" s="820"/>
      <c r="V100" s="823"/>
      <c r="W100" s="825"/>
      <c r="X100" s="825"/>
      <c r="Y100" s="825"/>
      <c r="Z100" s="229"/>
      <c r="AA100" s="229"/>
      <c r="AB100" s="230"/>
    </row>
    <row r="101" spans="1:28">
      <c r="A101" s="117"/>
      <c r="B101" s="117"/>
      <c r="C101" s="117"/>
      <c r="D101" s="117"/>
      <c r="E101" s="117"/>
      <c r="F101" s="851" t="s">
        <v>418</v>
      </c>
      <c r="G101" s="852" t="s">
        <v>381</v>
      </c>
      <c r="H101" s="853">
        <f>IFERROR(IF(VLOOKUP(K101,데이터입력!$C$42:$L$137,5,FALSE)&lt;1000,ROUNDUP(VLOOKUP(K101,데이터입력!$C$42:$L$137,5,FALSE)*1/1000,0),ROUND(VLOOKUP(K101,데이터입력!$C$42:$L$137,5,FALSE)*1/1000,0)),0)</f>
        <v>0</v>
      </c>
      <c r="I101" s="853">
        <f t="shared" ref="I101:I102" si="43">IFERROR(IF(F101="06",IF(V101&lt;1000,ROUNDUP((V101)*1/1000,0),ROUND((V101)*1/1000,0)),IF(F101="07",IF(W101&lt;1000,ROUNDUP((W101)*1/1000,0),ROUND((W101)*1/1000,0)),IF(F101="05",IF(X101&lt;1000,ROUNDUP((X101)*1/1000,0),ROUND((X101)*1/1000,0))))),0)</f>
        <v>0</v>
      </c>
      <c r="J101" s="854">
        <f>I101-H101</f>
        <v>0</v>
      </c>
      <c r="K101" s="231" t="str">
        <f>L101&amp;"("&amp;G101&amp;")"</f>
        <v>회의비(보조금)</v>
      </c>
      <c r="L101" s="239" t="str">
        <f>L93</f>
        <v>회의비</v>
      </c>
      <c r="M101" s="240"/>
      <c r="N101" s="855">
        <f>IF(R101="",AA93,ROUNDUP(AA93/R101,-3))</f>
        <v>0</v>
      </c>
      <c r="O101" s="1135" t="str">
        <f t="shared" ref="O101:O102" si="44">IF(P101="","","x ")</f>
        <v/>
      </c>
      <c r="P101" s="857"/>
      <c r="Q101" s="856" t="s">
        <v>404</v>
      </c>
      <c r="R101" s="858">
        <f>IF(VLOOKUP($L101,데이터입력!$R$103:$U$132,4,FALSE)="",데이터입력!$Y$8,VLOOKUP($L101,데이터입력!$R$103:$U$132,4,FALSE))</f>
        <v>12</v>
      </c>
      <c r="S101" s="856"/>
      <c r="T101" s="856" t="s">
        <v>405</v>
      </c>
      <c r="U101" s="856"/>
      <c r="V101" s="861"/>
      <c r="W101" s="861">
        <f>IF(P101=0,N101*R101,N101*P101*R101)</f>
        <v>0</v>
      </c>
      <c r="X101" s="861"/>
      <c r="Y101" s="861"/>
      <c r="Z101" s="230"/>
      <c r="AA101" s="230"/>
      <c r="AB101" s="230"/>
    </row>
    <row r="102" spans="1:28">
      <c r="A102" s="117"/>
      <c r="B102" s="117"/>
      <c r="C102" s="133"/>
      <c r="D102" s="133"/>
      <c r="E102" s="133"/>
      <c r="F102" s="862" t="s">
        <v>85</v>
      </c>
      <c r="G102" s="863" t="s">
        <v>19</v>
      </c>
      <c r="H102" s="864">
        <f>IFERROR(IF(VLOOKUP(K102,데이터입력!$C$42:$L$137,5,FALSE)&lt;1000,ROUNDUP(VLOOKUP(K102,데이터입력!$C$42:$L$137,5,FALSE)*1/1000,0),ROUND(VLOOKUP(K102,데이터입력!$C$42:$L$137,5,FALSE)*1/1000,0)),0)</f>
        <v>0</v>
      </c>
      <c r="I102" s="864">
        <f t="shared" si="43"/>
        <v>0</v>
      </c>
      <c r="J102" s="865">
        <f>I102-H102</f>
        <v>0</v>
      </c>
      <c r="K102" s="232" t="str">
        <f t="shared" ref="K102" si="45">L102&amp;"("&amp;G102&amp;")"</f>
        <v>회의비(후원금)</v>
      </c>
      <c r="L102" s="241" t="str">
        <f>L93</f>
        <v>회의비</v>
      </c>
      <c r="M102" s="242"/>
      <c r="N102" s="866">
        <f>IF(R102="",AB93,ROUNDUP(AB93/R102,-3))</f>
        <v>0</v>
      </c>
      <c r="O102" s="1134" t="str">
        <f t="shared" si="44"/>
        <v/>
      </c>
      <c r="P102" s="868"/>
      <c r="Q102" s="867" t="s">
        <v>404</v>
      </c>
      <c r="R102" s="869">
        <f>IF(VLOOKUP($L102,데이터입력!$R$133:$U$158,4,FALSE)="",데이터입력!$Y$8,VLOOKUP($L102,데이터입력!$R$133:$U$158,4,FALSE))</f>
        <v>12</v>
      </c>
      <c r="S102" s="867"/>
      <c r="T102" s="867" t="s">
        <v>405</v>
      </c>
      <c r="U102" s="867"/>
      <c r="V102" s="872"/>
      <c r="W102" s="872"/>
      <c r="X102" s="871">
        <f>IF(P102=0,N102*R102,N102*P102*R102)</f>
        <v>0</v>
      </c>
      <c r="Y102" s="871"/>
      <c r="Z102" s="230"/>
      <c r="AA102" s="230"/>
      <c r="AB102" s="230"/>
    </row>
    <row r="103" spans="1:28" s="254" customFormat="1">
      <c r="A103" s="270"/>
      <c r="B103" s="255" t="s">
        <v>304</v>
      </c>
      <c r="C103" s="256"/>
      <c r="D103" s="257"/>
      <c r="E103" s="257"/>
      <c r="F103" s="875"/>
      <c r="G103" s="875"/>
      <c r="H103" s="246">
        <f>SUM(H104:H168)</f>
        <v>185778</v>
      </c>
      <c r="I103" s="246">
        <f>SUM(I104:I168)</f>
        <v>188778</v>
      </c>
      <c r="J103" s="246">
        <f>SUM(J104:J168)</f>
        <v>3000</v>
      </c>
      <c r="K103" s="246"/>
      <c r="L103" s="258"/>
      <c r="M103" s="258"/>
      <c r="N103" s="258"/>
      <c r="O103" s="258"/>
      <c r="P103" s="258"/>
      <c r="Q103" s="258"/>
      <c r="R103" s="258"/>
      <c r="S103" s="258"/>
      <c r="T103" s="258"/>
      <c r="U103" s="258"/>
      <c r="V103" s="247">
        <f>SUM(V104,V114,V124,V141,V151,V156)</f>
        <v>188778000</v>
      </c>
      <c r="W103" s="247">
        <f>SUM(W104,W114,W124,W141,W151,W156)</f>
        <v>0</v>
      </c>
      <c r="X103" s="247">
        <f>SUM(X104,X114,X124,X141,X151,X156)</f>
        <v>0</v>
      </c>
      <c r="Y103" s="247">
        <f>SUM(V103:X103)</f>
        <v>188778000</v>
      </c>
      <c r="Z103" s="155"/>
      <c r="AA103" s="155"/>
      <c r="AB103" s="155"/>
    </row>
    <row r="104" spans="1:28">
      <c r="A104" s="117"/>
      <c r="B104" s="117"/>
      <c r="C104" s="107" t="s">
        <v>53</v>
      </c>
      <c r="D104" s="107" t="s">
        <v>53</v>
      </c>
      <c r="E104" s="107">
        <v>501030101</v>
      </c>
      <c r="F104" s="839" t="s">
        <v>83</v>
      </c>
      <c r="G104" s="840" t="s">
        <v>6</v>
      </c>
      <c r="H104" s="841">
        <f>IFERROR(IF(VLOOKUP(K104,데이터입력!$C$42:$L$137,5,FALSE)&lt;1000,ROUNDUP(VLOOKUP(K104,데이터입력!$C$42:$L$137,5,FALSE)*1/1000,0),ROUND(VLOOKUP(K104,데이터입력!$C$42:$L$137,5,FALSE)*1/1000,0)),0)</f>
        <v>1200</v>
      </c>
      <c r="I104" s="841">
        <f>IFERROR(IF(F104="06",IF(V104&lt;1000,ROUNDUP((V104)*1/1000,0),ROUND((V104)*1/1000,0)),IF(F104="07",IF(W104&lt;1000,ROUNDUP((W104)*1/1000,0),ROUND((W104)*1/1000,0)),IF(F104="05",IF(X104&lt;1000,ROUNDUP((X104)*1/1000,0),ROUND((X104)*1/1000,0))))),0)</f>
        <v>1200</v>
      </c>
      <c r="J104" s="841">
        <f>I104-H104</f>
        <v>0</v>
      </c>
      <c r="K104" s="842" t="str">
        <f>L104&amp;"("&amp;G104&amp;")"</f>
        <v>여비(수익사업)</v>
      </c>
      <c r="L104" s="111" t="str">
        <f>D104</f>
        <v>여비</v>
      </c>
      <c r="M104" s="112"/>
      <c r="N104" s="843"/>
      <c r="O104" s="844"/>
      <c r="P104" s="843"/>
      <c r="Q104" s="844"/>
      <c r="R104" s="843"/>
      <c r="S104" s="844"/>
      <c r="T104" s="844"/>
      <c r="U104" s="844"/>
      <c r="V104" s="845">
        <f>SUM(V105:V113)</f>
        <v>1200000</v>
      </c>
      <c r="W104" s="845">
        <f>SUM(W105:W113)</f>
        <v>0</v>
      </c>
      <c r="X104" s="845">
        <f>SUM(X105:X113)</f>
        <v>0</v>
      </c>
      <c r="Y104" s="845">
        <f>SUM(V104:X104)</f>
        <v>1200000</v>
      </c>
      <c r="Z104" s="228">
        <f>IFERROR(VLOOKUP($L104,데이터입력!$R$70:$U$102,3,FALSE),0)</f>
        <v>1200000</v>
      </c>
      <c r="AA104" s="228">
        <f>IFERROR(VLOOKUP($L112,데이터입력!$R$103:$U$132,3,FALSE),0)</f>
        <v>0</v>
      </c>
      <c r="AB104" s="228">
        <f>IFERROR(VLOOKUP($L113,데이터입력!$R$133:$U$158,3,FALSE),0)</f>
        <v>0</v>
      </c>
    </row>
    <row r="105" spans="1:28">
      <c r="A105" s="117"/>
      <c r="B105" s="117"/>
      <c r="C105" s="117"/>
      <c r="D105" s="117"/>
      <c r="E105" s="117"/>
      <c r="F105" s="846"/>
      <c r="G105" s="847"/>
      <c r="H105" s="848"/>
      <c r="I105" s="848"/>
      <c r="J105" s="848"/>
      <c r="K105" s="849"/>
      <c r="L105" s="244" t="str">
        <f>"  - "&amp;데이터입력!AB35</f>
        <v xml:space="preserve">  - 여비</v>
      </c>
      <c r="M105" s="210"/>
      <c r="N105" s="819">
        <f>데이터입력!AC35</f>
        <v>100000</v>
      </c>
      <c r="O105" s="120" t="str">
        <f t="shared" ref="O105:O111" si="46">IF(P105="","","x ")</f>
        <v/>
      </c>
      <c r="P105" s="821"/>
      <c r="Q105" s="820" t="str">
        <f>IF(R105="","","x ")</f>
        <v xml:space="preserve">x </v>
      </c>
      <c r="R105" s="822">
        <f>IF(VLOOKUP($L104,데이터입력!$R$70:$U$102,4,FALSE)="",데이터입력!$Y$8,VLOOKUP($L104,데이터입력!$R$70:$U$102,4,FALSE))</f>
        <v>12</v>
      </c>
      <c r="S105" s="820"/>
      <c r="T105" s="820" t="s">
        <v>405</v>
      </c>
      <c r="U105" s="820"/>
      <c r="V105" s="823">
        <f>IF(R105="",N105,N105*R105)</f>
        <v>1200000</v>
      </c>
      <c r="W105" s="825"/>
      <c r="X105" s="825"/>
      <c r="Y105" s="825"/>
      <c r="Z105" s="229"/>
      <c r="AA105" s="229"/>
      <c r="AB105" s="230"/>
    </row>
    <row r="106" spans="1:28">
      <c r="A106" s="117"/>
      <c r="B106" s="117"/>
      <c r="C106" s="117"/>
      <c r="D106" s="117"/>
      <c r="E106" s="117"/>
      <c r="F106" s="846"/>
      <c r="G106" s="847"/>
      <c r="H106" s="848"/>
      <c r="I106" s="848"/>
      <c r="J106" s="848"/>
      <c r="K106" s="850"/>
      <c r="L106" s="244" t="str">
        <f>"  - "&amp;데이터입력!AB36</f>
        <v xml:space="preserve">  - </v>
      </c>
      <c r="M106" s="245"/>
      <c r="N106" s="819">
        <f>데이터입력!AC36</f>
        <v>0</v>
      </c>
      <c r="O106" s="120" t="str">
        <f t="shared" si="46"/>
        <v/>
      </c>
      <c r="P106" s="821"/>
      <c r="Q106" s="820" t="s">
        <v>404</v>
      </c>
      <c r="R106" s="822">
        <f>데이터입력!$Y$8</f>
        <v>12</v>
      </c>
      <c r="S106" s="820"/>
      <c r="T106" s="820" t="s">
        <v>405</v>
      </c>
      <c r="U106" s="820"/>
      <c r="V106" s="823">
        <f t="shared" ref="V106:V111" si="47">IF(R106="",N106,N106*R106)</f>
        <v>0</v>
      </c>
      <c r="W106" s="825"/>
      <c r="X106" s="825"/>
      <c r="Y106" s="825"/>
      <c r="Z106" s="229"/>
      <c r="AA106" s="229"/>
      <c r="AB106" s="230"/>
    </row>
    <row r="107" spans="1:28" hidden="1">
      <c r="A107" s="117"/>
      <c r="B107" s="117"/>
      <c r="C107" s="117"/>
      <c r="D107" s="117"/>
      <c r="E107" s="117"/>
      <c r="F107" s="846"/>
      <c r="G107" s="847"/>
      <c r="H107" s="848"/>
      <c r="I107" s="848"/>
      <c r="J107" s="848"/>
      <c r="K107" s="850"/>
      <c r="L107" s="244" t="str">
        <f>"  - "&amp;데이터입력!AB37</f>
        <v xml:space="preserve">  - </v>
      </c>
      <c r="M107" s="245"/>
      <c r="N107" s="819">
        <f>데이터입력!AC37</f>
        <v>0</v>
      </c>
      <c r="O107" s="120" t="str">
        <f t="shared" si="46"/>
        <v/>
      </c>
      <c r="P107" s="821"/>
      <c r="Q107" s="820" t="s">
        <v>404</v>
      </c>
      <c r="R107" s="822">
        <f>데이터입력!$Y$8</f>
        <v>12</v>
      </c>
      <c r="S107" s="820"/>
      <c r="T107" s="820" t="s">
        <v>405</v>
      </c>
      <c r="U107" s="820"/>
      <c r="V107" s="823">
        <f t="shared" si="47"/>
        <v>0</v>
      </c>
      <c r="W107" s="825"/>
      <c r="X107" s="825"/>
      <c r="Y107" s="825"/>
      <c r="Z107" s="229"/>
      <c r="AA107" s="229"/>
      <c r="AB107" s="230"/>
    </row>
    <row r="108" spans="1:28" hidden="1">
      <c r="A108" s="117"/>
      <c r="B108" s="117"/>
      <c r="C108" s="117"/>
      <c r="D108" s="117"/>
      <c r="E108" s="117"/>
      <c r="F108" s="846"/>
      <c r="G108" s="847"/>
      <c r="H108" s="848"/>
      <c r="I108" s="848"/>
      <c r="J108" s="848"/>
      <c r="K108" s="850"/>
      <c r="L108" s="244" t="str">
        <f>"  - "&amp;데이터입력!AB38</f>
        <v xml:space="preserve">  - </v>
      </c>
      <c r="M108" s="245"/>
      <c r="N108" s="819">
        <f>데이터입력!AC38</f>
        <v>0</v>
      </c>
      <c r="O108" s="120" t="str">
        <f t="shared" si="46"/>
        <v/>
      </c>
      <c r="P108" s="821"/>
      <c r="Q108" s="820" t="s">
        <v>404</v>
      </c>
      <c r="R108" s="822">
        <f>데이터입력!$Y$8</f>
        <v>12</v>
      </c>
      <c r="S108" s="820"/>
      <c r="T108" s="820" t="s">
        <v>405</v>
      </c>
      <c r="U108" s="820"/>
      <c r="V108" s="823">
        <f t="shared" si="47"/>
        <v>0</v>
      </c>
      <c r="W108" s="825"/>
      <c r="X108" s="825"/>
      <c r="Y108" s="825"/>
      <c r="Z108" s="229"/>
      <c r="AA108" s="229"/>
      <c r="AB108" s="230"/>
    </row>
    <row r="109" spans="1:28" hidden="1">
      <c r="A109" s="117"/>
      <c r="B109" s="117"/>
      <c r="C109" s="117"/>
      <c r="D109" s="117"/>
      <c r="E109" s="117"/>
      <c r="F109" s="846"/>
      <c r="G109" s="847"/>
      <c r="H109" s="848"/>
      <c r="I109" s="848"/>
      <c r="J109" s="848"/>
      <c r="K109" s="850"/>
      <c r="L109" s="244" t="str">
        <f>"  - "&amp;데이터입력!AB39</f>
        <v xml:space="preserve">  - </v>
      </c>
      <c r="M109" s="245"/>
      <c r="N109" s="819">
        <f>데이터입력!AC39</f>
        <v>0</v>
      </c>
      <c r="O109" s="120" t="str">
        <f t="shared" si="46"/>
        <v/>
      </c>
      <c r="P109" s="821"/>
      <c r="Q109" s="820" t="s">
        <v>404</v>
      </c>
      <c r="R109" s="822">
        <f>데이터입력!$Y$8</f>
        <v>12</v>
      </c>
      <c r="S109" s="820"/>
      <c r="T109" s="820" t="s">
        <v>405</v>
      </c>
      <c r="U109" s="820"/>
      <c r="V109" s="823">
        <f t="shared" si="47"/>
        <v>0</v>
      </c>
      <c r="W109" s="825"/>
      <c r="X109" s="825"/>
      <c r="Y109" s="825"/>
      <c r="Z109" s="229"/>
      <c r="AA109" s="229"/>
      <c r="AB109" s="230"/>
    </row>
    <row r="110" spans="1:28" hidden="1">
      <c r="A110" s="117"/>
      <c r="B110" s="117"/>
      <c r="C110" s="117"/>
      <c r="D110" s="117"/>
      <c r="E110" s="117"/>
      <c r="F110" s="846"/>
      <c r="G110" s="847"/>
      <c r="H110" s="848"/>
      <c r="I110" s="848"/>
      <c r="J110" s="848"/>
      <c r="K110" s="850"/>
      <c r="L110" s="244" t="str">
        <f>"  - "&amp;데이터입력!AB40</f>
        <v xml:space="preserve">  - </v>
      </c>
      <c r="M110" s="245"/>
      <c r="N110" s="819">
        <f>데이터입력!AC40</f>
        <v>0</v>
      </c>
      <c r="O110" s="120" t="str">
        <f t="shared" si="46"/>
        <v/>
      </c>
      <c r="P110" s="821"/>
      <c r="Q110" s="820" t="s">
        <v>404</v>
      </c>
      <c r="R110" s="822">
        <f>데이터입력!$Y$8</f>
        <v>12</v>
      </c>
      <c r="S110" s="820"/>
      <c r="T110" s="820" t="s">
        <v>405</v>
      </c>
      <c r="U110" s="820"/>
      <c r="V110" s="823">
        <f t="shared" si="47"/>
        <v>0</v>
      </c>
      <c r="W110" s="825"/>
      <c r="X110" s="825"/>
      <c r="Y110" s="825"/>
      <c r="Z110" s="229"/>
      <c r="AA110" s="229"/>
      <c r="AB110" s="230"/>
    </row>
    <row r="111" spans="1:28" hidden="1">
      <c r="A111" s="117"/>
      <c r="B111" s="117"/>
      <c r="C111" s="117"/>
      <c r="D111" s="117"/>
      <c r="E111" s="117"/>
      <c r="F111" s="846"/>
      <c r="G111" s="847"/>
      <c r="H111" s="848"/>
      <c r="I111" s="848"/>
      <c r="J111" s="848"/>
      <c r="K111" s="850"/>
      <c r="L111" s="244" t="str">
        <f>"  - "&amp;데이터입력!AB41</f>
        <v xml:space="preserve">  - </v>
      </c>
      <c r="M111" s="245"/>
      <c r="N111" s="819">
        <f>데이터입력!AC41</f>
        <v>0</v>
      </c>
      <c r="O111" s="120" t="str">
        <f t="shared" si="46"/>
        <v/>
      </c>
      <c r="P111" s="821"/>
      <c r="Q111" s="820" t="s">
        <v>404</v>
      </c>
      <c r="R111" s="822">
        <f>데이터입력!$Y$8</f>
        <v>12</v>
      </c>
      <c r="S111" s="820"/>
      <c r="T111" s="820" t="s">
        <v>405</v>
      </c>
      <c r="U111" s="820"/>
      <c r="V111" s="823">
        <f t="shared" si="47"/>
        <v>0</v>
      </c>
      <c r="W111" s="825"/>
      <c r="X111" s="825"/>
      <c r="Y111" s="825"/>
      <c r="Z111" s="229"/>
      <c r="AA111" s="229"/>
      <c r="AB111" s="230"/>
    </row>
    <row r="112" spans="1:28">
      <c r="A112" s="117"/>
      <c r="B112" s="117"/>
      <c r="C112" s="117"/>
      <c r="D112" s="117"/>
      <c r="E112" s="117"/>
      <c r="F112" s="851" t="s">
        <v>418</v>
      </c>
      <c r="G112" s="852" t="s">
        <v>381</v>
      </c>
      <c r="H112" s="853">
        <f>IFERROR(IF(VLOOKUP(K112,데이터입력!$C$42:$L$137,5,FALSE)&lt;1000,ROUNDUP(VLOOKUP(K112,데이터입력!$C$42:$L$137,5,FALSE)*1/1000,0),ROUND(VLOOKUP(K112,데이터입력!$C$42:$L$137,5,FALSE)*1/1000,0)),0)</f>
        <v>0</v>
      </c>
      <c r="I112" s="853">
        <f t="shared" ref="I112:I113" si="48">IFERROR(IF(F112="06",IF(V112&lt;1000,ROUNDUP((V112)*1/1000,0),ROUND((V112)*1/1000,0)),IF(F112="07",IF(W112&lt;1000,ROUNDUP((W112)*1/1000,0),ROUND((W112)*1/1000,0)),IF(F112="05",IF(X112&lt;1000,ROUNDUP((X112)*1/1000,0),ROUND((X112)*1/1000,0))))),0)</f>
        <v>0</v>
      </c>
      <c r="J112" s="854">
        <f>I112-H112</f>
        <v>0</v>
      </c>
      <c r="K112" s="231" t="str">
        <f>L112&amp;"("&amp;G112&amp;")"</f>
        <v>여비(보조금)</v>
      </c>
      <c r="L112" s="239" t="str">
        <f>L104</f>
        <v>여비</v>
      </c>
      <c r="M112" s="240"/>
      <c r="N112" s="855">
        <f>IF(R112="",AA104,ROUNDUP(AA104/R112,-3))</f>
        <v>0</v>
      </c>
      <c r="O112" s="1135" t="str">
        <f t="shared" ref="O112:O113" si="49">IF(P112="","","x ")</f>
        <v/>
      </c>
      <c r="P112" s="857"/>
      <c r="Q112" s="856" t="s">
        <v>404</v>
      </c>
      <c r="R112" s="858">
        <f>IF(VLOOKUP($L112,데이터입력!$R$103:$U$132,4,FALSE)="",데이터입력!$Y$8,VLOOKUP($L112,데이터입력!$R$103:$U$132,4,FALSE))</f>
        <v>12</v>
      </c>
      <c r="S112" s="856"/>
      <c r="T112" s="856" t="s">
        <v>405</v>
      </c>
      <c r="U112" s="856"/>
      <c r="V112" s="861"/>
      <c r="W112" s="861">
        <f>IF(P112=0,N112*R112,N112*P112*R112)</f>
        <v>0</v>
      </c>
      <c r="X112" s="861"/>
      <c r="Y112" s="861"/>
      <c r="Z112" s="230"/>
      <c r="AA112" s="230"/>
      <c r="AB112" s="230"/>
    </row>
    <row r="113" spans="1:28">
      <c r="A113" s="117"/>
      <c r="B113" s="117"/>
      <c r="C113" s="117"/>
      <c r="D113" s="117"/>
      <c r="E113" s="117"/>
      <c r="F113" s="862" t="s">
        <v>85</v>
      </c>
      <c r="G113" s="863" t="s">
        <v>19</v>
      </c>
      <c r="H113" s="864">
        <f>IFERROR(IF(VLOOKUP(K113,데이터입력!$C$42:$L$137,5,FALSE)&lt;1000,ROUNDUP(VLOOKUP(K113,데이터입력!$C$42:$L$137,5,FALSE)*1/1000,0),ROUND(VLOOKUP(K113,데이터입력!$C$42:$L$137,5,FALSE)*1/1000,0)),0)</f>
        <v>0</v>
      </c>
      <c r="I113" s="864">
        <f t="shared" si="48"/>
        <v>0</v>
      </c>
      <c r="J113" s="865">
        <f>I113-H113</f>
        <v>0</v>
      </c>
      <c r="K113" s="232" t="str">
        <f t="shared" ref="K113" si="50">L113&amp;"("&amp;G113&amp;")"</f>
        <v>여비(후원금)</v>
      </c>
      <c r="L113" s="241" t="str">
        <f>L104</f>
        <v>여비</v>
      </c>
      <c r="M113" s="242"/>
      <c r="N113" s="866">
        <f>IF(R113="",AB104,ROUNDUP(AB104/R113,-3))</f>
        <v>0</v>
      </c>
      <c r="O113" s="1134" t="str">
        <f t="shared" si="49"/>
        <v/>
      </c>
      <c r="P113" s="868"/>
      <c r="Q113" s="867" t="s">
        <v>404</v>
      </c>
      <c r="R113" s="869">
        <f>IF(VLOOKUP($L113,데이터입력!$R$133:$U$158,4,FALSE)="",데이터입력!$Y$8,VLOOKUP($L113,데이터입력!$R$133:$U$158,4,FALSE))</f>
        <v>12</v>
      </c>
      <c r="S113" s="867"/>
      <c r="T113" s="867" t="s">
        <v>405</v>
      </c>
      <c r="U113" s="867"/>
      <c r="V113" s="872"/>
      <c r="W113" s="872"/>
      <c r="X113" s="871">
        <f>IF(P113=0,N113*R113,N113*P113*R113)</f>
        <v>0</v>
      </c>
      <c r="Y113" s="871"/>
      <c r="Z113" s="230"/>
      <c r="AA113" s="230"/>
      <c r="AB113" s="230"/>
    </row>
    <row r="114" spans="1:28">
      <c r="A114" s="117"/>
      <c r="B114" s="117"/>
      <c r="C114" s="107" t="s">
        <v>54</v>
      </c>
      <c r="D114" s="107" t="s">
        <v>54</v>
      </c>
      <c r="E114" s="107">
        <v>501030201</v>
      </c>
      <c r="F114" s="839" t="s">
        <v>83</v>
      </c>
      <c r="G114" s="840" t="s">
        <v>6</v>
      </c>
      <c r="H114" s="841">
        <f>IFERROR(IF(VLOOKUP(K114,데이터입력!$C$42:$L$137,5,FALSE)&lt;1000,ROUNDUP(VLOOKUP(K114,데이터입력!$C$42:$L$137,5,FALSE)*1/1000,0),ROUND(VLOOKUP(K114,데이터입력!$C$42:$L$137,5,FALSE)*1/1000,0)),0)</f>
        <v>66000</v>
      </c>
      <c r="I114" s="841">
        <f>IFERROR(IF(F114="06",IF(V114&lt;1000,ROUNDUP((V114)*1/1000,0),ROUND((V114)*1/1000,0)),IF(F114="07",IF(W114&lt;1000,ROUNDUP((W114)*1/1000,0),ROUND((W114)*1/1000,0)),IF(F114="05",IF(X114&lt;1000,ROUNDUP((X114)*1/1000,0),ROUND((X114)*1/1000,0))))),0)</f>
        <v>66000</v>
      </c>
      <c r="J114" s="841">
        <f>I114-H114</f>
        <v>0</v>
      </c>
      <c r="K114" s="842" t="str">
        <f>L114&amp;"("&amp;G114&amp;")"</f>
        <v>수용비 및 수수료(수익사업)</v>
      </c>
      <c r="L114" s="111" t="str">
        <f>D114</f>
        <v>수용비 및 수수료</v>
      </c>
      <c r="M114" s="112"/>
      <c r="N114" s="843"/>
      <c r="O114" s="844"/>
      <c r="P114" s="843"/>
      <c r="Q114" s="844"/>
      <c r="R114" s="843"/>
      <c r="S114" s="844"/>
      <c r="T114" s="844"/>
      <c r="U114" s="844"/>
      <c r="V114" s="845">
        <f>SUM(V115:V123)</f>
        <v>66000000</v>
      </c>
      <c r="W114" s="845">
        <f t="shared" ref="W114:X114" si="51">SUM(W115:W123)</f>
        <v>0</v>
      </c>
      <c r="X114" s="845">
        <f t="shared" si="51"/>
        <v>0</v>
      </c>
      <c r="Y114" s="845">
        <f>SUM(V114:X114)</f>
        <v>66000000</v>
      </c>
      <c r="Z114" s="228">
        <f>IFERROR(VLOOKUP($L114,데이터입력!$R$70:$U$102,3,FALSE),0)</f>
        <v>66000000</v>
      </c>
      <c r="AA114" s="228">
        <f>IFERROR(VLOOKUP($L122,데이터입력!$R$103:$U$132,3,FALSE),0)</f>
        <v>0</v>
      </c>
      <c r="AB114" s="228">
        <f>IFERROR(VLOOKUP($L123,데이터입력!$R$133:$U$158,3,FALSE),0)</f>
        <v>0</v>
      </c>
    </row>
    <row r="115" spans="1:28">
      <c r="A115" s="117"/>
      <c r="B115" s="117"/>
      <c r="C115" s="117"/>
      <c r="D115" s="117"/>
      <c r="E115" s="117"/>
      <c r="F115" s="846"/>
      <c r="G115" s="847"/>
      <c r="H115" s="848"/>
      <c r="I115" s="848"/>
      <c r="J115" s="848"/>
      <c r="K115" s="850"/>
      <c r="L115" s="126" t="str">
        <f>"  - "&amp;데이터입력!X43</f>
        <v xml:space="preserve">  - 각종수수료</v>
      </c>
      <c r="M115" s="210"/>
      <c r="N115" s="819">
        <f>데이터입력!Y43</f>
        <v>3300000</v>
      </c>
      <c r="O115" s="120" t="str">
        <f t="shared" ref="O115:O121" si="52">IF(P115="","","x ")</f>
        <v/>
      </c>
      <c r="P115" s="821"/>
      <c r="Q115" s="820" t="s">
        <v>404</v>
      </c>
      <c r="R115" s="822">
        <f>데이터입력!$Y$8</f>
        <v>12</v>
      </c>
      <c r="S115" s="820"/>
      <c r="T115" s="820" t="s">
        <v>405</v>
      </c>
      <c r="U115" s="820"/>
      <c r="V115" s="823">
        <f>IF(P115=0,N115*R115,N115*P115*R115)</f>
        <v>39600000</v>
      </c>
      <c r="W115" s="825"/>
      <c r="X115" s="825"/>
      <c r="Y115" s="825"/>
      <c r="Z115" s="229"/>
      <c r="AA115" s="229"/>
      <c r="AB115" s="230"/>
    </row>
    <row r="116" spans="1:28">
      <c r="A116" s="117"/>
      <c r="B116" s="117"/>
      <c r="C116" s="117"/>
      <c r="D116" s="117"/>
      <c r="E116" s="117"/>
      <c r="F116" s="846"/>
      <c r="G116" s="847"/>
      <c r="H116" s="848"/>
      <c r="I116" s="848"/>
      <c r="J116" s="848"/>
      <c r="K116" s="850"/>
      <c r="L116" s="126" t="str">
        <f>"  - "&amp;데이터입력!X44</f>
        <v xml:space="preserve">  - 렌탈료</v>
      </c>
      <c r="M116" s="210"/>
      <c r="N116" s="819">
        <f>데이터입력!Y44</f>
        <v>600000</v>
      </c>
      <c r="O116" s="120" t="str">
        <f t="shared" si="52"/>
        <v/>
      </c>
      <c r="P116" s="821"/>
      <c r="Q116" s="820" t="s">
        <v>404</v>
      </c>
      <c r="R116" s="822">
        <f>데이터입력!$Y$8</f>
        <v>12</v>
      </c>
      <c r="S116" s="820"/>
      <c r="T116" s="820" t="s">
        <v>405</v>
      </c>
      <c r="U116" s="820"/>
      <c r="V116" s="823">
        <f>IF(P116=0,N116*R116,N116*P116*R116)</f>
        <v>7200000</v>
      </c>
      <c r="W116" s="825"/>
      <c r="X116" s="825"/>
      <c r="Y116" s="825"/>
      <c r="Z116" s="229"/>
      <c r="AA116" s="229"/>
      <c r="AB116" s="230"/>
    </row>
    <row r="117" spans="1:28">
      <c r="A117" s="117"/>
      <c r="B117" s="117"/>
      <c r="C117" s="117"/>
      <c r="D117" s="117"/>
      <c r="E117" s="117"/>
      <c r="F117" s="846"/>
      <c r="G117" s="847"/>
      <c r="H117" s="848"/>
      <c r="I117" s="848"/>
      <c r="J117" s="848"/>
      <c r="K117" s="850"/>
      <c r="L117" s="126" t="str">
        <f>"  - "&amp;데이터입력!X45</f>
        <v xml:space="preserve">  - 사무용품</v>
      </c>
      <c r="M117" s="210"/>
      <c r="N117" s="819">
        <f>데이터입력!Y45</f>
        <v>600000</v>
      </c>
      <c r="O117" s="120" t="str">
        <f t="shared" si="52"/>
        <v/>
      </c>
      <c r="P117" s="821"/>
      <c r="Q117" s="820" t="s">
        <v>404</v>
      </c>
      <c r="R117" s="822">
        <f>데이터입력!$Y$8</f>
        <v>12</v>
      </c>
      <c r="S117" s="820"/>
      <c r="T117" s="820" t="s">
        <v>405</v>
      </c>
      <c r="U117" s="820"/>
      <c r="V117" s="823">
        <f>IF(P117=0,N117*R117,N117*P117*R117)</f>
        <v>7200000</v>
      </c>
      <c r="W117" s="825"/>
      <c r="X117" s="825"/>
      <c r="Y117" s="825"/>
      <c r="Z117" s="229"/>
      <c r="AA117" s="229"/>
      <c r="AB117" s="230"/>
    </row>
    <row r="118" spans="1:28">
      <c r="A118" s="117"/>
      <c r="B118" s="117"/>
      <c r="C118" s="117"/>
      <c r="D118" s="117"/>
      <c r="E118" s="117"/>
      <c r="F118" s="846"/>
      <c r="G118" s="847"/>
      <c r="H118" s="848"/>
      <c r="I118" s="848"/>
      <c r="J118" s="848"/>
      <c r="K118" s="850"/>
      <c r="L118" s="126" t="str">
        <f>"  - "&amp;데이터입력!X46</f>
        <v xml:space="preserve">  - 기타(소독,점검비 등)</v>
      </c>
      <c r="M118" s="210"/>
      <c r="N118" s="819">
        <f>데이터입력!Y46</f>
        <v>1000000</v>
      </c>
      <c r="O118" s="120" t="str">
        <f t="shared" si="52"/>
        <v/>
      </c>
      <c r="P118" s="821"/>
      <c r="Q118" s="820" t="s">
        <v>404</v>
      </c>
      <c r="R118" s="822">
        <f>데이터입력!$Y$8</f>
        <v>12</v>
      </c>
      <c r="S118" s="820"/>
      <c r="T118" s="820" t="s">
        <v>405</v>
      </c>
      <c r="U118" s="820"/>
      <c r="V118" s="823">
        <f>IF(P118=0,N118*R118,N118*P118*R118)</f>
        <v>12000000</v>
      </c>
      <c r="W118" s="825"/>
      <c r="X118" s="825"/>
      <c r="Y118" s="825"/>
      <c r="Z118" s="229"/>
      <c r="AA118" s="229"/>
      <c r="AB118" s="230"/>
    </row>
    <row r="119" spans="1:28">
      <c r="A119" s="117"/>
      <c r="B119" s="117"/>
      <c r="C119" s="117"/>
      <c r="D119" s="117"/>
      <c r="E119" s="117"/>
      <c r="F119" s="846"/>
      <c r="G119" s="847"/>
      <c r="H119" s="848"/>
      <c r="I119" s="848"/>
      <c r="J119" s="848"/>
      <c r="K119" s="850"/>
      <c r="L119" s="126" t="str">
        <f>"  - "&amp;데이터입력!X47</f>
        <v xml:space="preserve">  - </v>
      </c>
      <c r="M119" s="210"/>
      <c r="N119" s="819">
        <f>데이터입력!Y47</f>
        <v>0</v>
      </c>
      <c r="O119" s="120" t="str">
        <f t="shared" si="52"/>
        <v/>
      </c>
      <c r="P119" s="821"/>
      <c r="Q119" s="820" t="s">
        <v>404</v>
      </c>
      <c r="R119" s="822">
        <f>데이터입력!$Y$8</f>
        <v>12</v>
      </c>
      <c r="S119" s="820"/>
      <c r="T119" s="820" t="s">
        <v>405</v>
      </c>
      <c r="U119" s="820"/>
      <c r="V119" s="823">
        <f t="shared" ref="V119:V120" si="53">IF(P119=0,N119*R119,N119*P119*R119)</f>
        <v>0</v>
      </c>
      <c r="W119" s="825"/>
      <c r="X119" s="825"/>
      <c r="Y119" s="825"/>
      <c r="Z119" s="229"/>
      <c r="AA119" s="229"/>
      <c r="AB119" s="230"/>
    </row>
    <row r="120" spans="1:28">
      <c r="A120" s="117"/>
      <c r="B120" s="117"/>
      <c r="C120" s="117"/>
      <c r="D120" s="117"/>
      <c r="E120" s="117"/>
      <c r="F120" s="846"/>
      <c r="G120" s="847"/>
      <c r="H120" s="848"/>
      <c r="I120" s="848"/>
      <c r="J120" s="848"/>
      <c r="K120" s="850"/>
      <c r="L120" s="126" t="str">
        <f>"  - "&amp;데이터입력!X48</f>
        <v xml:space="preserve">  - </v>
      </c>
      <c r="M120" s="210"/>
      <c r="N120" s="819">
        <f>데이터입력!Y48</f>
        <v>0</v>
      </c>
      <c r="O120" s="120" t="str">
        <f t="shared" si="52"/>
        <v/>
      </c>
      <c r="P120" s="821"/>
      <c r="Q120" s="820" t="s">
        <v>404</v>
      </c>
      <c r="R120" s="822">
        <f>데이터입력!$Y$8</f>
        <v>12</v>
      </c>
      <c r="S120" s="820"/>
      <c r="T120" s="820" t="s">
        <v>405</v>
      </c>
      <c r="U120" s="820"/>
      <c r="V120" s="823">
        <f t="shared" si="53"/>
        <v>0</v>
      </c>
      <c r="W120" s="825"/>
      <c r="X120" s="825"/>
      <c r="Y120" s="825"/>
      <c r="Z120" s="229"/>
      <c r="AA120" s="229"/>
      <c r="AB120" s="230"/>
    </row>
    <row r="121" spans="1:28" hidden="1">
      <c r="A121" s="117"/>
      <c r="B121" s="117"/>
      <c r="C121" s="117"/>
      <c r="D121" s="117"/>
      <c r="E121" s="117"/>
      <c r="F121" s="846"/>
      <c r="G121" s="847"/>
      <c r="H121" s="848"/>
      <c r="I121" s="848"/>
      <c r="J121" s="848"/>
      <c r="K121" s="850"/>
      <c r="L121" s="126" t="str">
        <f>"  - "&amp;데이터입력!X49</f>
        <v xml:space="preserve">  - </v>
      </c>
      <c r="M121" s="210"/>
      <c r="N121" s="819">
        <f>데이터입력!Y49</f>
        <v>0</v>
      </c>
      <c r="O121" s="120" t="str">
        <f t="shared" si="52"/>
        <v/>
      </c>
      <c r="P121" s="821"/>
      <c r="Q121" s="820" t="s">
        <v>404</v>
      </c>
      <c r="R121" s="822">
        <f>데이터입력!$Y$8</f>
        <v>12</v>
      </c>
      <c r="S121" s="820"/>
      <c r="T121" s="820" t="s">
        <v>405</v>
      </c>
      <c r="U121" s="820"/>
      <c r="V121" s="823">
        <f t="shared" ref="V121" si="54">IF(P121=0,N121*R121,N121*P121*R121)</f>
        <v>0</v>
      </c>
      <c r="W121" s="825"/>
      <c r="X121" s="825"/>
      <c r="Y121" s="825"/>
      <c r="Z121" s="229"/>
      <c r="AA121" s="229"/>
      <c r="AB121" s="230"/>
    </row>
    <row r="122" spans="1:28">
      <c r="A122" s="117"/>
      <c r="B122" s="117"/>
      <c r="C122" s="117"/>
      <c r="D122" s="117"/>
      <c r="E122" s="117"/>
      <c r="F122" s="851" t="s">
        <v>418</v>
      </c>
      <c r="G122" s="852" t="s">
        <v>381</v>
      </c>
      <c r="H122" s="853">
        <f>IFERROR(IF(VLOOKUP(K122,데이터입력!$C$42:$L$137,5,FALSE)&lt;1000,ROUNDUP(VLOOKUP(K122,데이터입력!$C$42:$L$137,5,FALSE)*1/1000,0),ROUND(VLOOKUP(K122,데이터입력!$C$42:$L$137,5,FALSE)*1/1000,0)),0)</f>
        <v>0</v>
      </c>
      <c r="I122" s="853">
        <f t="shared" ref="I122:I123" si="55">IFERROR(IF(F122="06",IF(V122&lt;1000,ROUNDUP((V122)*1/1000,0),ROUND((V122)*1/1000,0)),IF(F122="07",IF(W122&lt;1000,ROUNDUP((W122)*1/1000,0),ROUND((W122)*1/1000,0)),IF(F122="05",IF(X122&lt;1000,ROUNDUP((X122)*1/1000,0),ROUND((X122)*1/1000,0))))),0)</f>
        <v>0</v>
      </c>
      <c r="J122" s="854">
        <f>I122-H122</f>
        <v>0</v>
      </c>
      <c r="K122" s="231" t="str">
        <f>L122&amp;"("&amp;G122&amp;")"</f>
        <v>수용비 및 수수료(보조금)</v>
      </c>
      <c r="L122" s="239" t="str">
        <f>L114</f>
        <v>수용비 및 수수료</v>
      </c>
      <c r="M122" s="240"/>
      <c r="N122" s="855">
        <f>IF(R122="",AA114,ROUNDUP(AA114/R122,-3))</f>
        <v>0</v>
      </c>
      <c r="O122" s="1135" t="str">
        <f t="shared" ref="O122:O123" si="56">IF(P122="","","x ")</f>
        <v/>
      </c>
      <c r="P122" s="857"/>
      <c r="Q122" s="856" t="s">
        <v>404</v>
      </c>
      <c r="R122" s="858">
        <f>IF(VLOOKUP($L122,데이터입력!$R$103:$U$132,4,FALSE)="",데이터입력!$Y$8,VLOOKUP($L122,데이터입력!$R$103:$U$132,4,FALSE))</f>
        <v>12</v>
      </c>
      <c r="S122" s="856"/>
      <c r="T122" s="856" t="s">
        <v>405</v>
      </c>
      <c r="U122" s="856"/>
      <c r="V122" s="861"/>
      <c r="W122" s="861">
        <f>IF(P122=0,N122*R122,N122*P122*R122)</f>
        <v>0</v>
      </c>
      <c r="X122" s="861"/>
      <c r="Y122" s="861"/>
      <c r="Z122" s="230"/>
      <c r="AA122" s="230"/>
      <c r="AB122" s="230"/>
    </row>
    <row r="123" spans="1:28">
      <c r="A123" s="117"/>
      <c r="B123" s="117"/>
      <c r="C123" s="117"/>
      <c r="D123" s="117"/>
      <c r="E123" s="117"/>
      <c r="F123" s="862" t="s">
        <v>85</v>
      </c>
      <c r="G123" s="863" t="s">
        <v>19</v>
      </c>
      <c r="H123" s="864">
        <f>IFERROR(IF(VLOOKUP(K123,데이터입력!$C$42:$L$137,5,FALSE)&lt;1000,ROUNDUP(VLOOKUP(K123,데이터입력!$C$42:$L$137,5,FALSE)*1/1000,0),ROUND(VLOOKUP(K123,데이터입력!$C$42:$L$137,5,FALSE)*1/1000,0)),0)</f>
        <v>0</v>
      </c>
      <c r="I123" s="864">
        <f t="shared" si="55"/>
        <v>0</v>
      </c>
      <c r="J123" s="865">
        <f>I123-H123</f>
        <v>0</v>
      </c>
      <c r="K123" s="232" t="str">
        <f t="shared" ref="K123" si="57">L123&amp;"("&amp;G123&amp;")"</f>
        <v>수용비 및 수수료(후원금)</v>
      </c>
      <c r="L123" s="241" t="str">
        <f>L114</f>
        <v>수용비 및 수수료</v>
      </c>
      <c r="M123" s="242"/>
      <c r="N123" s="866">
        <f>IF(R123="",AB114,ROUNDUP(AB114/R123,-3))</f>
        <v>0</v>
      </c>
      <c r="O123" s="1134" t="str">
        <f t="shared" si="56"/>
        <v/>
      </c>
      <c r="P123" s="868"/>
      <c r="Q123" s="867" t="s">
        <v>404</v>
      </c>
      <c r="R123" s="869">
        <f>IF(VLOOKUP($L123,데이터입력!$R$133:$U$158,4,FALSE)="",데이터입력!$Y$8,VLOOKUP($L123,데이터입력!$R$133:$U$158,4,FALSE))</f>
        <v>12</v>
      </c>
      <c r="S123" s="867"/>
      <c r="T123" s="867" t="s">
        <v>405</v>
      </c>
      <c r="U123" s="867"/>
      <c r="V123" s="872"/>
      <c r="W123" s="872"/>
      <c r="X123" s="871">
        <f>IF(P123=0,N123*R123,N123*P123*R123)</f>
        <v>0</v>
      </c>
      <c r="Y123" s="871"/>
      <c r="Z123" s="230"/>
      <c r="AA123" s="230"/>
      <c r="AB123" s="230"/>
    </row>
    <row r="124" spans="1:28" ht="24">
      <c r="A124" s="117"/>
      <c r="B124" s="117"/>
      <c r="C124" s="107" t="str">
        <f>데이터입력!$B$57</f>
        <v>공공요금 및 각종 세금공과금</v>
      </c>
      <c r="D124" s="107" t="str">
        <f>C124</f>
        <v>공공요금 및 각종 세금공과금</v>
      </c>
      <c r="E124" s="107">
        <v>501030301</v>
      </c>
      <c r="F124" s="839" t="s">
        <v>83</v>
      </c>
      <c r="G124" s="840" t="s">
        <v>6</v>
      </c>
      <c r="H124" s="841">
        <f>IFERROR(IF(VLOOKUP(K124,데이터입력!$C$42:$L$137,5,FALSE)&lt;1000,ROUNDUP(VLOOKUP(K124,데이터입력!$C$42:$L$137,5,FALSE)*1/1000,0),ROUND(VLOOKUP(K124,데이터입력!$C$42:$L$137,5,FALSE)*1/1000,0)),0)</f>
        <v>87000</v>
      </c>
      <c r="I124" s="841">
        <f>IFERROR(IF(F124="06",IF(V124&lt;1000,ROUNDUP((V124)*1/1000,0),ROUND((V124)*1/1000,0)),IF(F124="07",IF(W124&lt;1000,ROUNDUP((W124)*1/1000,0),ROUND((W124)*1/1000,0)),IF(F124="05",IF(X124&lt;1000,ROUNDUP((X124)*1/1000,0),ROUND((X124)*1/1000,0))))),0)</f>
        <v>90000</v>
      </c>
      <c r="J124" s="841">
        <f>I124-H124</f>
        <v>3000</v>
      </c>
      <c r="K124" s="842" t="str">
        <f>L124&amp;"("&amp;G124&amp;")"</f>
        <v>공공요금 및 각종 세금공과금(수익사업)</v>
      </c>
      <c r="L124" s="111" t="str">
        <f>D124</f>
        <v>공공요금 및 각종 세금공과금</v>
      </c>
      <c r="M124" s="112"/>
      <c r="N124" s="843"/>
      <c r="O124" s="844"/>
      <c r="P124" s="843"/>
      <c r="Q124" s="844"/>
      <c r="R124" s="843"/>
      <c r="S124" s="844"/>
      <c r="T124" s="844"/>
      <c r="U124" s="844"/>
      <c r="V124" s="845">
        <f>SUM(V125,V132)</f>
        <v>90000000</v>
      </c>
      <c r="W124" s="845">
        <f>SUM(W125:W140)</f>
        <v>0</v>
      </c>
      <c r="X124" s="845">
        <f>SUM(X125:X140)</f>
        <v>0</v>
      </c>
      <c r="Y124" s="845">
        <f>SUM(V124:X124)</f>
        <v>90000000</v>
      </c>
      <c r="Z124" s="228">
        <f>IFERROR(VLOOKUP($L124,데이터입력!$R$70:$U$102,3,FALSE),0)</f>
        <v>90000000</v>
      </c>
      <c r="AA124" s="228">
        <f>IFERROR(VLOOKUP($L139,데이터입력!$R$103:$U$132,3,FALSE),0)</f>
        <v>0</v>
      </c>
      <c r="AB124" s="228">
        <f>IFERROR(VLOOKUP($L140,데이터입력!$R$133:$U$158,3,FALSE),0)</f>
        <v>0</v>
      </c>
    </row>
    <row r="125" spans="1:28">
      <c r="A125" s="117"/>
      <c r="B125" s="117"/>
      <c r="C125" s="117"/>
      <c r="D125" s="117"/>
      <c r="E125" s="117"/>
      <c r="F125" s="846"/>
      <c r="G125" s="847"/>
      <c r="H125" s="848"/>
      <c r="I125" s="848"/>
      <c r="J125" s="848"/>
      <c r="K125" s="850"/>
      <c r="L125" s="126" t="s">
        <v>178</v>
      </c>
      <c r="M125" s="210"/>
      <c r="O125" s="807"/>
      <c r="Q125" s="807"/>
      <c r="S125" s="807"/>
      <c r="T125" s="807"/>
      <c r="U125" s="807"/>
      <c r="V125" s="876">
        <f>SUM(V126:V131)</f>
        <v>58500000</v>
      </c>
      <c r="W125" s="876"/>
      <c r="X125" s="876"/>
      <c r="Y125" s="876"/>
      <c r="Z125" s="156"/>
      <c r="AA125" s="156"/>
      <c r="AB125" s="100"/>
    </row>
    <row r="126" spans="1:28">
      <c r="A126" s="117"/>
      <c r="B126" s="117"/>
      <c r="C126" s="117"/>
      <c r="D126" s="117"/>
      <c r="E126" s="117"/>
      <c r="F126" s="846"/>
      <c r="G126" s="847"/>
      <c r="H126" s="848"/>
      <c r="I126" s="848"/>
      <c r="J126" s="848"/>
      <c r="K126" s="850"/>
      <c r="L126" s="126" t="str">
        <f>"  - "&amp;데이터입력!Z44</f>
        <v xml:space="preserve">  - 공공요금</v>
      </c>
      <c r="M126" s="210"/>
      <c r="N126" s="819">
        <f>데이터입력!AA44</f>
        <v>1575000</v>
      </c>
      <c r="O126" s="120" t="str">
        <f>IF(P126="","","x ")</f>
        <v/>
      </c>
      <c r="P126" s="821"/>
      <c r="Q126" s="820" t="s">
        <v>404</v>
      </c>
      <c r="R126" s="822">
        <f>데이터입력!$Y$8</f>
        <v>12</v>
      </c>
      <c r="S126" s="820"/>
      <c r="T126" s="820" t="s">
        <v>405</v>
      </c>
      <c r="U126" s="820"/>
      <c r="V126" s="823">
        <f>IF(P126=0,N126*R126,N126*P126*R126)</f>
        <v>18900000</v>
      </c>
      <c r="W126" s="825"/>
      <c r="X126" s="825"/>
      <c r="Y126" s="825"/>
      <c r="Z126" s="100"/>
      <c r="AA126" s="100"/>
      <c r="AB126" s="100"/>
    </row>
    <row r="127" spans="1:28">
      <c r="A127" s="117"/>
      <c r="B127" s="117"/>
      <c r="C127" s="117"/>
      <c r="D127" s="117"/>
      <c r="E127" s="117"/>
      <c r="F127" s="846"/>
      <c r="G127" s="847"/>
      <c r="H127" s="848"/>
      <c r="I127" s="848"/>
      <c r="J127" s="848"/>
      <c r="K127" s="850"/>
      <c r="L127" s="126" t="str">
        <f>"  - "&amp;데이터입력!Z45</f>
        <v xml:space="preserve">  - TV,통신요금 등</v>
      </c>
      <c r="M127" s="210"/>
      <c r="N127" s="819">
        <f>데이터입력!AA45</f>
        <v>800000</v>
      </c>
      <c r="O127" s="120" t="str">
        <f>IF(P127="","","x ")</f>
        <v/>
      </c>
      <c r="P127" s="821"/>
      <c r="Q127" s="820" t="s">
        <v>404</v>
      </c>
      <c r="R127" s="822">
        <f>데이터입력!$Y$8</f>
        <v>12</v>
      </c>
      <c r="S127" s="820"/>
      <c r="T127" s="820" t="s">
        <v>405</v>
      </c>
      <c r="U127" s="820"/>
      <c r="V127" s="823">
        <f>IF(P127=0,N127*R127,N127*P127*R127)</f>
        <v>9600000</v>
      </c>
      <c r="W127" s="825"/>
      <c r="X127" s="825"/>
      <c r="Y127" s="825"/>
      <c r="Z127" s="100"/>
      <c r="AA127" s="100"/>
      <c r="AB127" s="100"/>
    </row>
    <row r="128" spans="1:28">
      <c r="A128" s="117"/>
      <c r="B128" s="117"/>
      <c r="C128" s="117"/>
      <c r="D128" s="117"/>
      <c r="E128" s="117"/>
      <c r="F128" s="846"/>
      <c r="G128" s="847"/>
      <c r="H128" s="848"/>
      <c r="I128" s="848"/>
      <c r="J128" s="848"/>
      <c r="K128" s="850"/>
      <c r="L128" s="126" t="str">
        <f>"  - "&amp;데이터입력!Z46</f>
        <v xml:space="preserve">  - 기타(관리비 등)</v>
      </c>
      <c r="M128" s="210"/>
      <c r="N128" s="819">
        <f>데이터입력!AA46</f>
        <v>2500000</v>
      </c>
      <c r="O128" s="120" t="str">
        <f>IF(P128="","","x ")</f>
        <v/>
      </c>
      <c r="P128" s="821"/>
      <c r="Q128" s="820" t="s">
        <v>404</v>
      </c>
      <c r="R128" s="822">
        <f>데이터입력!$Y$8</f>
        <v>12</v>
      </c>
      <c r="S128" s="820"/>
      <c r="T128" s="820" t="s">
        <v>405</v>
      </c>
      <c r="U128" s="820"/>
      <c r="V128" s="823">
        <f>IF(P128=0,N128*R128,N128*P128*R128)</f>
        <v>30000000</v>
      </c>
      <c r="W128" s="825"/>
      <c r="X128" s="825"/>
      <c r="Y128" s="825"/>
      <c r="Z128" s="100"/>
      <c r="AA128" s="100"/>
      <c r="AB128" s="100"/>
    </row>
    <row r="129" spans="1:28">
      <c r="A129" s="117"/>
      <c r="B129" s="117"/>
      <c r="C129" s="117"/>
      <c r="D129" s="117"/>
      <c r="E129" s="117"/>
      <c r="F129" s="846"/>
      <c r="G129" s="847"/>
      <c r="H129" s="848"/>
      <c r="I129" s="848"/>
      <c r="J129" s="848"/>
      <c r="K129" s="850"/>
      <c r="L129" s="126" t="str">
        <f>"  - "&amp;데이터입력!Z47</f>
        <v xml:space="preserve">  - </v>
      </c>
      <c r="M129" s="210"/>
      <c r="N129" s="819">
        <f>데이터입력!AA47</f>
        <v>0</v>
      </c>
      <c r="O129" s="120" t="str">
        <f>IF(P129="","","x ")</f>
        <v/>
      </c>
      <c r="P129" s="821"/>
      <c r="Q129" s="820" t="s">
        <v>404</v>
      </c>
      <c r="R129" s="822">
        <f>데이터입력!$Y$8</f>
        <v>12</v>
      </c>
      <c r="S129" s="820"/>
      <c r="T129" s="820" t="s">
        <v>405</v>
      </c>
      <c r="U129" s="820"/>
      <c r="V129" s="823">
        <f t="shared" ref="V129:V131" si="58">IF(P129=0,N129*R129,N129*P129*R129)</f>
        <v>0</v>
      </c>
      <c r="W129" s="825"/>
      <c r="X129" s="825"/>
      <c r="Y129" s="825"/>
      <c r="Z129" s="100"/>
      <c r="AA129" s="100"/>
      <c r="AB129" s="100"/>
    </row>
    <row r="130" spans="1:28" hidden="1">
      <c r="A130" s="117"/>
      <c r="B130" s="117"/>
      <c r="C130" s="117"/>
      <c r="D130" s="117"/>
      <c r="E130" s="117"/>
      <c r="F130" s="846"/>
      <c r="G130" s="847"/>
      <c r="H130" s="848"/>
      <c r="I130" s="848"/>
      <c r="J130" s="848"/>
      <c r="K130" s="850"/>
      <c r="L130" s="126" t="str">
        <f>"  - "&amp;데이터입력!Z48</f>
        <v xml:space="preserve">  - </v>
      </c>
      <c r="M130" s="210"/>
      <c r="N130" s="819">
        <f>데이터입력!AA48</f>
        <v>0</v>
      </c>
      <c r="O130" s="820" t="s">
        <v>404</v>
      </c>
      <c r="P130" s="821"/>
      <c r="Q130" s="820" t="s">
        <v>404</v>
      </c>
      <c r="R130" s="822">
        <f>데이터입력!$Y$8</f>
        <v>12</v>
      </c>
      <c r="S130" s="820"/>
      <c r="T130" s="820" t="s">
        <v>405</v>
      </c>
      <c r="U130" s="820"/>
      <c r="V130" s="823">
        <f t="shared" si="58"/>
        <v>0</v>
      </c>
      <c r="W130" s="825"/>
      <c r="X130" s="825"/>
      <c r="Y130" s="825"/>
      <c r="Z130" s="100"/>
      <c r="AA130" s="100"/>
      <c r="AB130" s="100"/>
    </row>
    <row r="131" spans="1:28" hidden="1">
      <c r="A131" s="117"/>
      <c r="B131" s="117"/>
      <c r="C131" s="117"/>
      <c r="D131" s="117"/>
      <c r="E131" s="117"/>
      <c r="F131" s="846"/>
      <c r="G131" s="847"/>
      <c r="H131" s="848"/>
      <c r="I131" s="848"/>
      <c r="J131" s="848"/>
      <c r="K131" s="850"/>
      <c r="L131" s="126" t="str">
        <f>"  - "&amp;데이터입력!Z49</f>
        <v xml:space="preserve">  - </v>
      </c>
      <c r="M131" s="210"/>
      <c r="N131" s="819">
        <f>데이터입력!AA49</f>
        <v>0</v>
      </c>
      <c r="O131" s="820" t="s">
        <v>404</v>
      </c>
      <c r="P131" s="821"/>
      <c r="Q131" s="820" t="s">
        <v>404</v>
      </c>
      <c r="R131" s="822">
        <f>데이터입력!$Y$8</f>
        <v>12</v>
      </c>
      <c r="S131" s="820"/>
      <c r="T131" s="820" t="s">
        <v>405</v>
      </c>
      <c r="U131" s="820"/>
      <c r="V131" s="823">
        <f t="shared" si="58"/>
        <v>0</v>
      </c>
      <c r="W131" s="825"/>
      <c r="X131" s="825"/>
      <c r="Y131" s="825"/>
      <c r="Z131" s="100"/>
      <c r="AA131" s="100"/>
      <c r="AB131" s="100"/>
    </row>
    <row r="132" spans="1:28">
      <c r="A132" s="117"/>
      <c r="B132" s="117"/>
      <c r="C132" s="117"/>
      <c r="D132" s="117"/>
      <c r="E132" s="117"/>
      <c r="F132" s="846"/>
      <c r="G132" s="847"/>
      <c r="H132" s="848"/>
      <c r="I132" s="848"/>
      <c r="J132" s="848"/>
      <c r="K132" s="850"/>
      <c r="L132" s="126" t="s">
        <v>182</v>
      </c>
      <c r="M132" s="210"/>
      <c r="O132" s="807"/>
      <c r="Q132" s="807"/>
      <c r="S132" s="807"/>
      <c r="T132" s="807"/>
      <c r="U132" s="807"/>
      <c r="V132" s="876">
        <f>SUM(V133:V138)</f>
        <v>31500000</v>
      </c>
      <c r="W132" s="876"/>
      <c r="X132" s="876"/>
      <c r="Y132" s="876"/>
      <c r="Z132" s="150"/>
      <c r="AA132" s="150"/>
      <c r="AB132" s="100"/>
    </row>
    <row r="133" spans="1:28">
      <c r="A133" s="117"/>
      <c r="B133" s="117"/>
      <c r="C133" s="117"/>
      <c r="D133" s="117"/>
      <c r="E133" s="117"/>
      <c r="F133" s="846"/>
      <c r="G133" s="847"/>
      <c r="H133" s="848"/>
      <c r="I133" s="848"/>
      <c r="J133" s="848"/>
      <c r="K133" s="850"/>
      <c r="L133" s="126" t="str">
        <f>"  - "&amp;데이터입력!AB44</f>
        <v xml:space="preserve">  - 각종세금 등</v>
      </c>
      <c r="M133" s="210"/>
      <c r="N133" s="819">
        <f>데이터입력!AC44</f>
        <v>625000</v>
      </c>
      <c r="O133" s="120" t="str">
        <f t="shared" ref="O133:O138" si="59">IF(P133="","","x ")</f>
        <v/>
      </c>
      <c r="P133" s="821"/>
      <c r="Q133" s="820" t="s">
        <v>404</v>
      </c>
      <c r="R133" s="822">
        <f>데이터입력!$Y$8</f>
        <v>12</v>
      </c>
      <c r="S133" s="820"/>
      <c r="T133" s="820" t="s">
        <v>405</v>
      </c>
      <c r="U133" s="820"/>
      <c r="V133" s="823">
        <f>IF(P133=0,N133*R133,N133*P133*R133)</f>
        <v>7500000</v>
      </c>
      <c r="W133" s="825"/>
      <c r="X133" s="825"/>
      <c r="Y133" s="825"/>
      <c r="Z133" s="100"/>
      <c r="AA133" s="100"/>
      <c r="AB133" s="100"/>
    </row>
    <row r="134" spans="1:28">
      <c r="A134" s="117"/>
      <c r="B134" s="117"/>
      <c r="C134" s="117"/>
      <c r="D134" s="117"/>
      <c r="E134" s="117"/>
      <c r="F134" s="846"/>
      <c r="G134" s="847"/>
      <c r="H134" s="848"/>
      <c r="I134" s="848"/>
      <c r="J134" s="848"/>
      <c r="K134" s="850"/>
      <c r="L134" s="126" t="str">
        <f>"  - "&amp;데이터입력!AB45</f>
        <v xml:space="preserve">  - 각종공과금 등</v>
      </c>
      <c r="M134" s="210"/>
      <c r="N134" s="819">
        <f>데이터입력!AC45</f>
        <v>1000000</v>
      </c>
      <c r="O134" s="120" t="str">
        <f t="shared" si="59"/>
        <v/>
      </c>
      <c r="P134" s="821"/>
      <c r="Q134" s="820" t="s">
        <v>404</v>
      </c>
      <c r="R134" s="822">
        <f>데이터입력!$Y$8</f>
        <v>12</v>
      </c>
      <c r="S134" s="820"/>
      <c r="T134" s="820" t="s">
        <v>405</v>
      </c>
      <c r="U134" s="820"/>
      <c r="V134" s="823">
        <f>IF(P134=0,N134*R134,N134*P134*R134)</f>
        <v>12000000</v>
      </c>
      <c r="W134" s="825"/>
      <c r="X134" s="825"/>
      <c r="Y134" s="825"/>
      <c r="Z134" s="100"/>
      <c r="AA134" s="100"/>
      <c r="AB134" s="100"/>
    </row>
    <row r="135" spans="1:28">
      <c r="A135" s="117"/>
      <c r="B135" s="117"/>
      <c r="C135" s="117"/>
      <c r="D135" s="117"/>
      <c r="E135" s="117"/>
      <c r="F135" s="846"/>
      <c r="G135" s="847"/>
      <c r="H135" s="848"/>
      <c r="I135" s="848"/>
      <c r="J135" s="848"/>
      <c r="K135" s="850"/>
      <c r="L135" s="126" t="str">
        <f>"  - "&amp;데이터입력!AB46</f>
        <v xml:space="preserve">  - 기타(보험료 등)</v>
      </c>
      <c r="M135" s="210"/>
      <c r="N135" s="819">
        <f>데이터입력!AC46</f>
        <v>1000000</v>
      </c>
      <c r="O135" s="120" t="str">
        <f t="shared" si="59"/>
        <v/>
      </c>
      <c r="P135" s="821"/>
      <c r="Q135" s="820" t="s">
        <v>404</v>
      </c>
      <c r="R135" s="822">
        <f>데이터입력!$Y$8</f>
        <v>12</v>
      </c>
      <c r="S135" s="820"/>
      <c r="T135" s="820" t="s">
        <v>405</v>
      </c>
      <c r="U135" s="820"/>
      <c r="V135" s="823">
        <f>IF(P135=0,N135*R135,N135*P135*R135)</f>
        <v>12000000</v>
      </c>
      <c r="W135" s="825"/>
      <c r="X135" s="825"/>
      <c r="Y135" s="825"/>
      <c r="Z135" s="100"/>
      <c r="AA135" s="100"/>
      <c r="AB135" s="100"/>
    </row>
    <row r="136" spans="1:28">
      <c r="A136" s="117"/>
      <c r="B136" s="117"/>
      <c r="C136" s="117"/>
      <c r="D136" s="117"/>
      <c r="E136" s="117"/>
      <c r="F136" s="846"/>
      <c r="G136" s="847"/>
      <c r="H136" s="848"/>
      <c r="I136" s="848"/>
      <c r="J136" s="848"/>
      <c r="K136" s="850"/>
      <c r="L136" s="126" t="str">
        <f>"  - "&amp;데이터입력!AB47</f>
        <v xml:space="preserve">  - </v>
      </c>
      <c r="M136" s="210"/>
      <c r="N136" s="819">
        <f>데이터입력!AC47</f>
        <v>0</v>
      </c>
      <c r="O136" s="120" t="str">
        <f t="shared" si="59"/>
        <v/>
      </c>
      <c r="P136" s="821"/>
      <c r="Q136" s="820" t="s">
        <v>404</v>
      </c>
      <c r="R136" s="822">
        <f>데이터입력!$Y$8</f>
        <v>12</v>
      </c>
      <c r="S136" s="820"/>
      <c r="T136" s="820" t="s">
        <v>405</v>
      </c>
      <c r="U136" s="820"/>
      <c r="V136" s="823">
        <f t="shared" ref="V136:V138" si="60">IF(P136=0,N136*R136,N136*P136*R136)</f>
        <v>0</v>
      </c>
      <c r="W136" s="825"/>
      <c r="X136" s="825"/>
      <c r="Y136" s="825"/>
      <c r="Z136" s="100"/>
      <c r="AA136" s="100"/>
      <c r="AB136" s="100"/>
    </row>
    <row r="137" spans="1:28" hidden="1">
      <c r="A137" s="117"/>
      <c r="B137" s="117"/>
      <c r="C137" s="117"/>
      <c r="D137" s="117"/>
      <c r="E137" s="117"/>
      <c r="F137" s="846"/>
      <c r="G137" s="847"/>
      <c r="H137" s="848"/>
      <c r="I137" s="848"/>
      <c r="J137" s="848"/>
      <c r="K137" s="850"/>
      <c r="L137" s="126" t="str">
        <f>"  - "&amp;데이터입력!AB48</f>
        <v xml:space="preserve">  - </v>
      </c>
      <c r="M137" s="210"/>
      <c r="N137" s="819">
        <f>데이터입력!AC48</f>
        <v>0</v>
      </c>
      <c r="O137" s="120" t="str">
        <f t="shared" si="59"/>
        <v/>
      </c>
      <c r="P137" s="821"/>
      <c r="Q137" s="820" t="s">
        <v>404</v>
      </c>
      <c r="R137" s="822">
        <f>데이터입력!$Y$8</f>
        <v>12</v>
      </c>
      <c r="S137" s="820"/>
      <c r="T137" s="820" t="s">
        <v>405</v>
      </c>
      <c r="U137" s="820"/>
      <c r="V137" s="823">
        <f t="shared" si="60"/>
        <v>0</v>
      </c>
      <c r="W137" s="825"/>
      <c r="X137" s="825"/>
      <c r="Y137" s="825"/>
      <c r="Z137" s="100"/>
      <c r="AA137" s="100"/>
      <c r="AB137" s="100"/>
    </row>
    <row r="138" spans="1:28" hidden="1">
      <c r="A138" s="117"/>
      <c r="B138" s="117"/>
      <c r="C138" s="117"/>
      <c r="D138" s="117"/>
      <c r="E138" s="117"/>
      <c r="F138" s="846"/>
      <c r="G138" s="847"/>
      <c r="H138" s="848"/>
      <c r="I138" s="848"/>
      <c r="J138" s="848"/>
      <c r="K138" s="850"/>
      <c r="L138" s="126" t="str">
        <f>"  - "&amp;데이터입력!AB49</f>
        <v xml:space="preserve">  - </v>
      </c>
      <c r="M138" s="210"/>
      <c r="N138" s="819">
        <f>데이터입력!AC49</f>
        <v>0</v>
      </c>
      <c r="O138" s="120" t="str">
        <f t="shared" si="59"/>
        <v/>
      </c>
      <c r="P138" s="821"/>
      <c r="Q138" s="820" t="s">
        <v>404</v>
      </c>
      <c r="R138" s="822">
        <f>데이터입력!$Y$8</f>
        <v>12</v>
      </c>
      <c r="S138" s="820"/>
      <c r="T138" s="820" t="s">
        <v>405</v>
      </c>
      <c r="U138" s="820"/>
      <c r="V138" s="823">
        <f t="shared" si="60"/>
        <v>0</v>
      </c>
      <c r="W138" s="825"/>
      <c r="X138" s="825"/>
      <c r="Y138" s="825"/>
      <c r="Z138" s="100"/>
      <c r="AA138" s="100"/>
      <c r="AB138" s="100"/>
    </row>
    <row r="139" spans="1:28">
      <c r="A139" s="117"/>
      <c r="B139" s="117"/>
      <c r="C139" s="117"/>
      <c r="D139" s="117"/>
      <c r="E139" s="117"/>
      <c r="F139" s="851" t="s">
        <v>418</v>
      </c>
      <c r="G139" s="852" t="s">
        <v>381</v>
      </c>
      <c r="H139" s="853">
        <f>IFERROR(IF(VLOOKUP(K139,데이터입력!$C$42:$L$137,5,FALSE)&lt;1000,ROUNDUP(VLOOKUP(K139,데이터입력!$C$42:$L$137,5,FALSE)*1/1000,0),ROUND(VLOOKUP(K139,데이터입력!$C$42:$L$137,5,FALSE)*1/1000,0)),0)</f>
        <v>0</v>
      </c>
      <c r="I139" s="853">
        <f t="shared" ref="I139:I140" si="61">IFERROR(IF(F139="06",IF(V139&lt;1000,ROUNDUP((V139)*1/1000,0),ROUND((V139)*1/1000,0)),IF(F139="07",IF(W139&lt;1000,ROUNDUP((W139)*1/1000,0),ROUND((W139)*1/1000,0)),IF(F139="05",IF(X139&lt;1000,ROUNDUP((X139)*1/1000,0),ROUND((X139)*1/1000,0))))),0)</f>
        <v>0</v>
      </c>
      <c r="J139" s="854">
        <f>I139-H139</f>
        <v>0</v>
      </c>
      <c r="K139" s="231" t="str">
        <f>L139&amp;"("&amp;G139&amp;")"</f>
        <v>공공요금 및 각종 세금공과금(보조금)</v>
      </c>
      <c r="L139" s="239" t="str">
        <f>L124</f>
        <v>공공요금 및 각종 세금공과금</v>
      </c>
      <c r="M139" s="240"/>
      <c r="N139" s="855">
        <f>IF(R139="",AA124,ROUNDUP(AA124/R139,-3))</f>
        <v>0</v>
      </c>
      <c r="O139" s="1135" t="str">
        <f t="shared" ref="O139:O140" si="62">IF(P139="","","x ")</f>
        <v/>
      </c>
      <c r="P139" s="857"/>
      <c r="Q139" s="856" t="s">
        <v>404</v>
      </c>
      <c r="R139" s="858">
        <f>IF(VLOOKUP($L139,데이터입력!$R$103:$U$132,4,FALSE)="",데이터입력!$Y$8,VLOOKUP($L139,데이터입력!$R$103:$U$132,4,FALSE))</f>
        <v>12</v>
      </c>
      <c r="S139" s="856"/>
      <c r="T139" s="856" t="s">
        <v>405</v>
      </c>
      <c r="U139" s="856"/>
      <c r="V139" s="861"/>
      <c r="W139" s="861">
        <f>IF(P139=0,N139*R139,N139*P139*R139)</f>
        <v>0</v>
      </c>
      <c r="X139" s="860"/>
      <c r="Y139" s="860"/>
      <c r="Z139" s="100"/>
      <c r="AA139" s="100"/>
      <c r="AB139" s="100"/>
    </row>
    <row r="140" spans="1:28">
      <c r="A140" s="117"/>
      <c r="B140" s="117"/>
      <c r="C140" s="117"/>
      <c r="D140" s="117"/>
      <c r="E140" s="117"/>
      <c r="F140" s="862" t="s">
        <v>85</v>
      </c>
      <c r="G140" s="863" t="s">
        <v>19</v>
      </c>
      <c r="H140" s="864">
        <f>IFERROR(IF(VLOOKUP(K140,데이터입력!$C$42:$L$137,5,FALSE)&lt;1000,ROUNDUP(VLOOKUP(K140,데이터입력!$C$42:$L$137,5,FALSE)*1/1000,0),ROUND(VLOOKUP(K140,데이터입력!$C$42:$L$137,5,FALSE)*1/1000,0)),0)</f>
        <v>0</v>
      </c>
      <c r="I140" s="864">
        <f t="shared" si="61"/>
        <v>0</v>
      </c>
      <c r="J140" s="865">
        <f>I140-H140</f>
        <v>0</v>
      </c>
      <c r="K140" s="232" t="str">
        <f t="shared" ref="K140" si="63">L140&amp;"("&amp;G140&amp;")"</f>
        <v>공공요금 및 각종 세금공과금(후원금)</v>
      </c>
      <c r="L140" s="241" t="str">
        <f>L124</f>
        <v>공공요금 및 각종 세금공과금</v>
      </c>
      <c r="M140" s="242"/>
      <c r="N140" s="866">
        <f>IF(R140="",AB124,ROUNDUP(AB124/R140,-3))</f>
        <v>0</v>
      </c>
      <c r="O140" s="1134" t="str">
        <f t="shared" si="62"/>
        <v/>
      </c>
      <c r="P140" s="868"/>
      <c r="Q140" s="867" t="s">
        <v>404</v>
      </c>
      <c r="R140" s="869">
        <f>IF(VLOOKUP($L140,데이터입력!$R$133:$U$158,4,FALSE)="",데이터입력!$Y$8,VLOOKUP($L140,데이터입력!$R$133:$U$158,4,FALSE))</f>
        <v>12</v>
      </c>
      <c r="S140" s="867"/>
      <c r="T140" s="867" t="s">
        <v>405</v>
      </c>
      <c r="U140" s="867"/>
      <c r="V140" s="872"/>
      <c r="W140" s="872"/>
      <c r="X140" s="871">
        <f>IF(P140=0,N140*R140,N140*P140*R140)</f>
        <v>0</v>
      </c>
      <c r="Y140" s="871"/>
      <c r="Z140" s="100"/>
      <c r="AA140" s="100"/>
      <c r="AB140" s="100"/>
    </row>
    <row r="141" spans="1:28">
      <c r="A141" s="117"/>
      <c r="B141" s="117"/>
      <c r="C141" s="107" t="s">
        <v>55</v>
      </c>
      <c r="D141" s="107" t="s">
        <v>55</v>
      </c>
      <c r="E141" s="107">
        <v>501030501</v>
      </c>
      <c r="F141" s="839" t="s">
        <v>83</v>
      </c>
      <c r="G141" s="840" t="s">
        <v>6</v>
      </c>
      <c r="H141" s="841">
        <f>IFERROR(IF(VLOOKUP(K141,데이터입력!$C$42:$L$137,5,FALSE)&lt;1000,ROUNDUP(VLOOKUP(K141,데이터입력!$C$42:$L$137,5,FALSE)*1/1000,0),ROUND(VLOOKUP(K141,데이터입력!$C$42:$L$137,5,FALSE)*1/1000,0)),0)</f>
        <v>7200</v>
      </c>
      <c r="I141" s="841">
        <f>IFERROR(IF(F141="06",IF(V141&lt;1000,ROUNDUP((V141)*1/1000,0),ROUND((V141)*1/1000,0)),IF(F141="07",IF(W141&lt;1000,ROUNDUP((W141)*1/1000,0),ROUND((W141)*1/1000,0)),IF(F141="05",IF(X141&lt;1000,ROUNDUP((X141)*1/1000,0),ROUND((X141)*1/1000,0))))),0)</f>
        <v>7200</v>
      </c>
      <c r="J141" s="841">
        <f>I141-H141</f>
        <v>0</v>
      </c>
      <c r="K141" s="842" t="str">
        <f>L141&amp;"("&amp;G141&amp;")"</f>
        <v>차량비(수익사업)</v>
      </c>
      <c r="L141" s="111" t="str">
        <f>D141</f>
        <v>차량비</v>
      </c>
      <c r="M141" s="112"/>
      <c r="N141" s="843"/>
      <c r="O141" s="844"/>
      <c r="P141" s="843"/>
      <c r="Q141" s="844"/>
      <c r="R141" s="843"/>
      <c r="S141" s="844"/>
      <c r="T141" s="844"/>
      <c r="U141" s="844"/>
      <c r="V141" s="845">
        <f>SUM(V142:V150)</f>
        <v>7200000</v>
      </c>
      <c r="W141" s="845">
        <f>SUM(W142:W150)</f>
        <v>0</v>
      </c>
      <c r="X141" s="845">
        <f>SUM(X142:X150)</f>
        <v>0</v>
      </c>
      <c r="Y141" s="845">
        <f>SUM(V141:X141)</f>
        <v>7200000</v>
      </c>
      <c r="Z141" s="228">
        <f>IFERROR(VLOOKUP($L141,데이터입력!$R$70:$U$102,3,FALSE),0)</f>
        <v>7200000</v>
      </c>
      <c r="AA141" s="228">
        <f>IFERROR(VLOOKUP($L149,데이터입력!$R$103:$U$132,3,FALSE),0)</f>
        <v>0</v>
      </c>
      <c r="AB141" s="228">
        <f>IFERROR(VLOOKUP($L150,데이터입력!$R$133:$U$158,3,FALSE),0)</f>
        <v>0</v>
      </c>
    </row>
    <row r="142" spans="1:28">
      <c r="A142" s="117"/>
      <c r="B142" s="117"/>
      <c r="C142" s="117"/>
      <c r="D142" s="117"/>
      <c r="E142" s="117"/>
      <c r="F142" s="846"/>
      <c r="G142" s="847"/>
      <c r="H142" s="848"/>
      <c r="I142" s="848"/>
      <c r="J142" s="848"/>
      <c r="K142" s="850"/>
      <c r="L142" s="126" t="str">
        <f>"  - "&amp;데이터입력!AD43</f>
        <v xml:space="preserve">  - 주유비</v>
      </c>
      <c r="M142" s="210"/>
      <c r="N142" s="819">
        <f>데이터입력!AE43</f>
        <v>465000</v>
      </c>
      <c r="O142" s="120" t="str">
        <f t="shared" ref="O142:O148" si="64">IF(P142="","","x ")</f>
        <v/>
      </c>
      <c r="P142" s="821"/>
      <c r="Q142" s="820" t="s">
        <v>404</v>
      </c>
      <c r="R142" s="822">
        <f>데이터입력!AF43</f>
        <v>12</v>
      </c>
      <c r="S142" s="820"/>
      <c r="T142" s="820" t="s">
        <v>405</v>
      </c>
      <c r="U142" s="820"/>
      <c r="V142" s="823">
        <f>IF(P142=0,N142*R142,N142*P142*R142)</f>
        <v>5580000</v>
      </c>
      <c r="W142" s="825"/>
      <c r="X142" s="825"/>
      <c r="Y142" s="825"/>
      <c r="Z142" s="155"/>
      <c r="AA142" s="155"/>
      <c r="AB142" s="100"/>
    </row>
    <row r="143" spans="1:28">
      <c r="A143" s="117"/>
      <c r="B143" s="117"/>
      <c r="C143" s="117"/>
      <c r="D143" s="117"/>
      <c r="E143" s="117"/>
      <c r="F143" s="846"/>
      <c r="G143" s="847"/>
      <c r="H143" s="848"/>
      <c r="I143" s="848"/>
      <c r="J143" s="848"/>
      <c r="K143" s="850"/>
      <c r="L143" s="126" t="str">
        <f>"  - "&amp;데이터입력!AD44</f>
        <v xml:space="preserve">  - 수리비</v>
      </c>
      <c r="M143" s="210"/>
      <c r="N143" s="819">
        <f>데이터입력!AE44</f>
        <v>135000</v>
      </c>
      <c r="O143" s="120" t="str">
        <f t="shared" si="64"/>
        <v/>
      </c>
      <c r="P143" s="821"/>
      <c r="Q143" s="820" t="s">
        <v>404</v>
      </c>
      <c r="R143" s="822">
        <f>데이터입력!AF44</f>
        <v>12</v>
      </c>
      <c r="S143" s="820"/>
      <c r="T143" s="820" t="s">
        <v>405</v>
      </c>
      <c r="U143" s="820"/>
      <c r="V143" s="823">
        <f>IF(P143=0,N143*R143,N143*P143*R143)</f>
        <v>1620000</v>
      </c>
      <c r="W143" s="825"/>
      <c r="X143" s="825"/>
      <c r="Y143" s="825"/>
      <c r="Z143" s="155"/>
      <c r="AA143" s="155"/>
      <c r="AB143" s="100"/>
    </row>
    <row r="144" spans="1:28">
      <c r="A144" s="117"/>
      <c r="B144" s="117"/>
      <c r="C144" s="117"/>
      <c r="D144" s="117"/>
      <c r="E144" s="117"/>
      <c r="F144" s="846"/>
      <c r="G144" s="847"/>
      <c r="H144" s="848"/>
      <c r="I144" s="848"/>
      <c r="J144" s="848"/>
      <c r="K144" s="850"/>
      <c r="L144" s="126" t="str">
        <f>"  - "&amp;데이터입력!AD45</f>
        <v xml:space="preserve">  - </v>
      </c>
      <c r="M144" s="210"/>
      <c r="N144" s="819">
        <f>데이터입력!AE45</f>
        <v>0</v>
      </c>
      <c r="O144" s="120" t="str">
        <f t="shared" si="64"/>
        <v/>
      </c>
      <c r="P144" s="821"/>
      <c r="Q144" s="820" t="s">
        <v>404</v>
      </c>
      <c r="R144" s="822">
        <f>데이터입력!AF45</f>
        <v>12</v>
      </c>
      <c r="S144" s="820"/>
      <c r="T144" s="820" t="s">
        <v>405</v>
      </c>
      <c r="U144" s="820"/>
      <c r="V144" s="823">
        <f t="shared" ref="V144:V148" si="65">IF(P144=0,N144*R144,N144*P144*R144)</f>
        <v>0</v>
      </c>
      <c r="W144" s="825"/>
      <c r="X144" s="825"/>
      <c r="Y144" s="825"/>
      <c r="Z144" s="155"/>
      <c r="AA144" s="155"/>
      <c r="AB144" s="100"/>
    </row>
    <row r="145" spans="1:28" hidden="1">
      <c r="A145" s="117"/>
      <c r="B145" s="117"/>
      <c r="C145" s="117"/>
      <c r="D145" s="117"/>
      <c r="E145" s="117"/>
      <c r="F145" s="846"/>
      <c r="G145" s="847"/>
      <c r="H145" s="848"/>
      <c r="I145" s="848"/>
      <c r="J145" s="848"/>
      <c r="K145" s="850"/>
      <c r="L145" s="126" t="str">
        <f>"  - "&amp;데이터입력!AD46</f>
        <v xml:space="preserve">  - </v>
      </c>
      <c r="M145" s="210"/>
      <c r="N145" s="819">
        <f>데이터입력!AE46</f>
        <v>0</v>
      </c>
      <c r="O145" s="120" t="str">
        <f t="shared" si="64"/>
        <v/>
      </c>
      <c r="P145" s="821"/>
      <c r="Q145" s="820" t="s">
        <v>404</v>
      </c>
      <c r="R145" s="822">
        <f>데이터입력!AF46</f>
        <v>12</v>
      </c>
      <c r="S145" s="820"/>
      <c r="T145" s="820" t="s">
        <v>405</v>
      </c>
      <c r="U145" s="820"/>
      <c r="V145" s="823">
        <f t="shared" si="65"/>
        <v>0</v>
      </c>
      <c r="W145" s="825"/>
      <c r="X145" s="825"/>
      <c r="Y145" s="825"/>
      <c r="Z145" s="155"/>
      <c r="AA145" s="155"/>
      <c r="AB145" s="100"/>
    </row>
    <row r="146" spans="1:28" hidden="1">
      <c r="A146" s="117"/>
      <c r="B146" s="117"/>
      <c r="C146" s="117"/>
      <c r="D146" s="117"/>
      <c r="E146" s="117"/>
      <c r="F146" s="846"/>
      <c r="G146" s="847"/>
      <c r="H146" s="848"/>
      <c r="I146" s="848"/>
      <c r="J146" s="848"/>
      <c r="K146" s="850"/>
      <c r="L146" s="126" t="str">
        <f>"  - "&amp;데이터입력!AD47</f>
        <v xml:space="preserve">  - </v>
      </c>
      <c r="M146" s="210"/>
      <c r="N146" s="819">
        <f>데이터입력!AE47</f>
        <v>0</v>
      </c>
      <c r="O146" s="120" t="str">
        <f t="shared" si="64"/>
        <v/>
      </c>
      <c r="P146" s="821"/>
      <c r="Q146" s="820" t="s">
        <v>404</v>
      </c>
      <c r="R146" s="822">
        <f>데이터입력!AF47</f>
        <v>12</v>
      </c>
      <c r="S146" s="820"/>
      <c r="T146" s="820" t="s">
        <v>405</v>
      </c>
      <c r="U146" s="820"/>
      <c r="V146" s="823">
        <f t="shared" si="65"/>
        <v>0</v>
      </c>
      <c r="W146" s="825"/>
      <c r="X146" s="825"/>
      <c r="Y146" s="825"/>
      <c r="Z146" s="155"/>
      <c r="AA146" s="155"/>
      <c r="AB146" s="100"/>
    </row>
    <row r="147" spans="1:28" hidden="1">
      <c r="A147" s="117"/>
      <c r="B147" s="117"/>
      <c r="C147" s="117"/>
      <c r="D147" s="117"/>
      <c r="E147" s="117"/>
      <c r="F147" s="846"/>
      <c r="G147" s="847"/>
      <c r="H147" s="848"/>
      <c r="I147" s="848"/>
      <c r="J147" s="848"/>
      <c r="K147" s="850"/>
      <c r="L147" s="126" t="str">
        <f>"  - "&amp;데이터입력!AD48</f>
        <v xml:space="preserve">  - </v>
      </c>
      <c r="M147" s="210"/>
      <c r="N147" s="819">
        <f>데이터입력!AE48</f>
        <v>0</v>
      </c>
      <c r="O147" s="120" t="str">
        <f t="shared" si="64"/>
        <v/>
      </c>
      <c r="P147" s="821"/>
      <c r="Q147" s="820" t="s">
        <v>404</v>
      </c>
      <c r="R147" s="822">
        <f>데이터입력!AF48</f>
        <v>12</v>
      </c>
      <c r="S147" s="820"/>
      <c r="T147" s="820" t="s">
        <v>405</v>
      </c>
      <c r="U147" s="820"/>
      <c r="V147" s="823">
        <f t="shared" si="65"/>
        <v>0</v>
      </c>
      <c r="W147" s="825"/>
      <c r="X147" s="825"/>
      <c r="Y147" s="825"/>
      <c r="Z147" s="155"/>
      <c r="AA147" s="155"/>
      <c r="AB147" s="100"/>
    </row>
    <row r="148" spans="1:28" hidden="1">
      <c r="A148" s="117"/>
      <c r="B148" s="117"/>
      <c r="C148" s="117"/>
      <c r="D148" s="117"/>
      <c r="E148" s="117"/>
      <c r="F148" s="846"/>
      <c r="G148" s="847"/>
      <c r="H148" s="848"/>
      <c r="I148" s="848"/>
      <c r="J148" s="848"/>
      <c r="K148" s="850"/>
      <c r="L148" s="126" t="str">
        <f>"  - "&amp;데이터입력!AD49</f>
        <v xml:space="preserve">  - </v>
      </c>
      <c r="M148" s="210"/>
      <c r="N148" s="819">
        <f>데이터입력!AE49</f>
        <v>0</v>
      </c>
      <c r="O148" s="120" t="str">
        <f t="shared" si="64"/>
        <v/>
      </c>
      <c r="P148" s="821"/>
      <c r="Q148" s="820" t="s">
        <v>404</v>
      </c>
      <c r="R148" s="822">
        <f>데이터입력!AF49</f>
        <v>12</v>
      </c>
      <c r="S148" s="820"/>
      <c r="T148" s="820" t="s">
        <v>405</v>
      </c>
      <c r="U148" s="820"/>
      <c r="V148" s="823">
        <f t="shared" si="65"/>
        <v>0</v>
      </c>
      <c r="W148" s="825"/>
      <c r="X148" s="825"/>
      <c r="Y148" s="825"/>
      <c r="Z148" s="155"/>
      <c r="AA148" s="155"/>
      <c r="AB148" s="100"/>
    </row>
    <row r="149" spans="1:28">
      <c r="A149" s="117"/>
      <c r="B149" s="117"/>
      <c r="C149" s="117"/>
      <c r="D149" s="117"/>
      <c r="E149" s="117"/>
      <c r="F149" s="851" t="s">
        <v>418</v>
      </c>
      <c r="G149" s="852" t="s">
        <v>381</v>
      </c>
      <c r="H149" s="853">
        <f>IFERROR(IF(VLOOKUP(K149,데이터입력!$C$42:$L$137,5,FALSE)&lt;1000,ROUNDUP(VLOOKUP(K149,데이터입력!$C$42:$L$137,5,FALSE)*1/1000,0),ROUND(VLOOKUP(K149,데이터입력!$C$42:$L$137,5,FALSE)*1/1000,0)),0)</f>
        <v>0</v>
      </c>
      <c r="I149" s="853">
        <f t="shared" ref="I149:I150" si="66">IFERROR(IF(F149="06",IF(V149&lt;1000,ROUNDUP((V149)*1/1000,0),ROUND((V149)*1/1000,0)),IF(F149="07",IF(W149&lt;1000,ROUNDUP((W149)*1/1000,0),ROUND((W149)*1/1000,0)),IF(F149="05",IF(X149&lt;1000,ROUNDUP((X149)*1/1000,0),ROUND((X149)*1/1000,0))))),0)</f>
        <v>0</v>
      </c>
      <c r="J149" s="854">
        <f>I149-H149</f>
        <v>0</v>
      </c>
      <c r="K149" s="231" t="str">
        <f>L149&amp;"("&amp;G149&amp;")"</f>
        <v>차량비(보조금)</v>
      </c>
      <c r="L149" s="239" t="str">
        <f>L141</f>
        <v>차량비</v>
      </c>
      <c r="M149" s="240"/>
      <c r="N149" s="855">
        <f>IF(R149="",AA141,ROUNDUP(AA141/R149,-3))</f>
        <v>0</v>
      </c>
      <c r="O149" s="1135" t="str">
        <f t="shared" ref="O149:O150" si="67">IF(P149="","","x ")</f>
        <v/>
      </c>
      <c r="P149" s="857"/>
      <c r="Q149" s="856" t="s">
        <v>404</v>
      </c>
      <c r="R149" s="858">
        <f>IF(VLOOKUP($L149,데이터입력!$R$103:$U$132,4,FALSE)="",데이터입력!$Y$8,VLOOKUP($L149,데이터입력!$R$103:$U$132,4,FALSE))</f>
        <v>12</v>
      </c>
      <c r="S149" s="856"/>
      <c r="T149" s="856" t="s">
        <v>405</v>
      </c>
      <c r="U149" s="856"/>
      <c r="V149" s="861"/>
      <c r="W149" s="861">
        <f>IF(P149=0,N149*R149,N149*P149*R149)</f>
        <v>0</v>
      </c>
      <c r="X149" s="860"/>
      <c r="Y149" s="860"/>
      <c r="Z149" s="100"/>
      <c r="AA149" s="100"/>
      <c r="AB149" s="100"/>
    </row>
    <row r="150" spans="1:28">
      <c r="A150" s="117"/>
      <c r="B150" s="117"/>
      <c r="C150" s="117"/>
      <c r="D150" s="117"/>
      <c r="E150" s="117"/>
      <c r="F150" s="862" t="s">
        <v>85</v>
      </c>
      <c r="G150" s="863" t="s">
        <v>19</v>
      </c>
      <c r="H150" s="864">
        <f>IFERROR(IF(VLOOKUP(K150,데이터입력!$C$42:$L$137,5,FALSE)&lt;1000,ROUNDUP(VLOOKUP(K150,데이터입력!$C$42:$L$137,5,FALSE)*1/1000,0),ROUND(VLOOKUP(K150,데이터입력!$C$42:$L$137,5,FALSE)*1/1000,0)),0)</f>
        <v>0</v>
      </c>
      <c r="I150" s="864">
        <f t="shared" si="66"/>
        <v>0</v>
      </c>
      <c r="J150" s="865">
        <f>I150-H150</f>
        <v>0</v>
      </c>
      <c r="K150" s="232" t="str">
        <f t="shared" ref="K150" si="68">L150&amp;"("&amp;G150&amp;")"</f>
        <v>차량비(후원금)</v>
      </c>
      <c r="L150" s="241" t="str">
        <f>L141</f>
        <v>차량비</v>
      </c>
      <c r="M150" s="242"/>
      <c r="N150" s="866">
        <f>IF(R150="",AB141,ROUNDUP(AB141/R150,-3))</f>
        <v>0</v>
      </c>
      <c r="O150" s="1134" t="str">
        <f t="shared" si="67"/>
        <v/>
      </c>
      <c r="P150" s="868"/>
      <c r="Q150" s="867" t="s">
        <v>404</v>
      </c>
      <c r="R150" s="869">
        <f>IF(VLOOKUP($L150,데이터입력!$R$133:$U$158,4,FALSE)="",데이터입력!$Y$8,VLOOKUP($L150,데이터입력!$R$133:$U$158,4,FALSE))</f>
        <v>12</v>
      </c>
      <c r="S150" s="867"/>
      <c r="T150" s="867" t="s">
        <v>405</v>
      </c>
      <c r="U150" s="867"/>
      <c r="V150" s="872"/>
      <c r="W150" s="872"/>
      <c r="X150" s="871">
        <f>IF(P150=0,N150*R150,N150*P150*R150)</f>
        <v>0</v>
      </c>
      <c r="Y150" s="871"/>
      <c r="Z150" s="100"/>
      <c r="AA150" s="100"/>
      <c r="AB150" s="100"/>
    </row>
    <row r="151" spans="1:28">
      <c r="A151" s="117"/>
      <c r="B151" s="117"/>
      <c r="C151" s="107" t="s">
        <v>56</v>
      </c>
      <c r="D151" s="107" t="s">
        <v>56</v>
      </c>
      <c r="E151" s="107">
        <v>501030601</v>
      </c>
      <c r="F151" s="839" t="s">
        <v>83</v>
      </c>
      <c r="G151" s="840" t="s">
        <v>6</v>
      </c>
      <c r="H151" s="841">
        <f>IFERROR(IF(VLOOKUP(K151,데이터입력!$C$42:$L$137,5,FALSE)&lt;1000,ROUNDUP(VLOOKUP(K151,데이터입력!$C$42:$L$137,5,FALSE)*1/1000,0),ROUND(VLOOKUP(K151,데이터입력!$C$42:$L$137,5,FALSE)*1/1000,0)),0)</f>
        <v>0</v>
      </c>
      <c r="I151" s="841">
        <f>IFERROR(IF(F151="06",IF(V151&lt;1000,ROUNDUP((V151)*1/1000,0),ROUND((V151)*1/1000,0)),IF(F151="07",IF(W151&lt;1000,ROUNDUP((W151)*1/1000,0),ROUND((W151)*1/1000,0)),IF(F151="05",IF(X151&lt;1000,ROUNDUP((X151)*1/1000,0),ROUND((X151)*1/1000,0))))),0)</f>
        <v>0</v>
      </c>
      <c r="J151" s="841">
        <f>I151-H151</f>
        <v>0</v>
      </c>
      <c r="K151" s="842" t="str">
        <f>L151&amp;"("&amp;G151&amp;")"</f>
        <v>임차료(수익사업)</v>
      </c>
      <c r="L151" s="111" t="str">
        <f>D151</f>
        <v>임차료</v>
      </c>
      <c r="M151" s="112"/>
      <c r="N151" s="843"/>
      <c r="O151" s="844"/>
      <c r="P151" s="843"/>
      <c r="Q151" s="844"/>
      <c r="R151" s="843"/>
      <c r="S151" s="844"/>
      <c r="T151" s="844"/>
      <c r="U151" s="844"/>
      <c r="V151" s="845">
        <f>SUM(V152:V155)</f>
        <v>0</v>
      </c>
      <c r="W151" s="845">
        <f>SUM(W152:W155)</f>
        <v>0</v>
      </c>
      <c r="X151" s="845">
        <f>SUM(X152:X155)</f>
        <v>0</v>
      </c>
      <c r="Y151" s="845">
        <f>SUM(V151:X151)</f>
        <v>0</v>
      </c>
      <c r="Z151" s="228">
        <f>IFERROR(VLOOKUP($L151,데이터입력!$R$70:$U$102,3,FALSE),0)</f>
        <v>0</v>
      </c>
      <c r="AA151" s="228">
        <f>IFERROR(VLOOKUP($L154,데이터입력!$R$103:$U$132,3,FALSE),0)</f>
        <v>0</v>
      </c>
      <c r="AB151" s="228">
        <f>IFERROR(VLOOKUP($L155,데이터입력!$R$133:$U$158,3,FALSE),0)</f>
        <v>0</v>
      </c>
    </row>
    <row r="152" spans="1:28">
      <c r="A152" s="117"/>
      <c r="B152" s="117"/>
      <c r="C152" s="117"/>
      <c r="D152" s="117"/>
      <c r="E152" s="117"/>
      <c r="F152" s="846"/>
      <c r="G152" s="847"/>
      <c r="H152" s="848"/>
      <c r="I152" s="848"/>
      <c r="J152" s="848"/>
      <c r="K152" s="850"/>
      <c r="L152" s="126" t="str">
        <f>"  - "&amp;L151</f>
        <v xml:space="preserve">  - 임차료</v>
      </c>
      <c r="M152" s="210"/>
      <c r="N152" s="819">
        <f>IF(R152="",Z151,ROUNDUP((Z151-V153)/R152,-3))</f>
        <v>0</v>
      </c>
      <c r="O152" s="120" t="str">
        <f>IF(P152="","","x ")</f>
        <v/>
      </c>
      <c r="P152" s="821"/>
      <c r="Q152" s="820" t="str">
        <f>IF(R152="","","x ")</f>
        <v xml:space="preserve">x </v>
      </c>
      <c r="R152" s="822">
        <f>IF(VLOOKUP($L151,데이터입력!$R$70:$U$102,4,FALSE)="",데이터입력!$Y$8,VLOOKUP($L151,데이터입력!$R$70:$U$102,4,FALSE))</f>
        <v>12</v>
      </c>
      <c r="S152" s="820"/>
      <c r="T152" s="820" t="s">
        <v>405</v>
      </c>
      <c r="U152" s="820"/>
      <c r="V152" s="823">
        <f>IF(R152="",N152,N152*R152)</f>
        <v>0</v>
      </c>
      <c r="W152" s="825"/>
      <c r="X152" s="825"/>
      <c r="Y152" s="825"/>
      <c r="Z152" s="229"/>
      <c r="AA152" s="229"/>
      <c r="AB152" s="230"/>
    </row>
    <row r="153" spans="1:28">
      <c r="A153" s="117"/>
      <c r="B153" s="117"/>
      <c r="C153" s="117"/>
      <c r="D153" s="117"/>
      <c r="E153" s="117"/>
      <c r="F153" s="846"/>
      <c r="G153" s="847"/>
      <c r="H153" s="848"/>
      <c r="I153" s="848"/>
      <c r="J153" s="848"/>
      <c r="K153" s="850"/>
      <c r="L153" s="126" t="s">
        <v>440</v>
      </c>
      <c r="M153" s="210"/>
      <c r="N153" s="819">
        <v>0</v>
      </c>
      <c r="O153" s="120" t="str">
        <f>IF(P153="","","x ")</f>
        <v/>
      </c>
      <c r="P153" s="821"/>
      <c r="Q153" s="820" t="s">
        <v>404</v>
      </c>
      <c r="R153" s="822">
        <f>IF(VLOOKUP($L151,데이터입력!$R$70:$U$102,4,FALSE)="",데이터입력!$Y$8,VLOOKUP($L151,데이터입력!$R$70:$U$102,4,FALSE))</f>
        <v>12</v>
      </c>
      <c r="S153" s="820"/>
      <c r="T153" s="820" t="s">
        <v>405</v>
      </c>
      <c r="U153" s="820"/>
      <c r="V153" s="823">
        <f>IF(P153=0,N153*R153,N153*P153*R153)</f>
        <v>0</v>
      </c>
      <c r="W153" s="825"/>
      <c r="X153" s="825"/>
      <c r="Y153" s="825"/>
      <c r="Z153" s="229"/>
      <c r="AA153" s="229"/>
      <c r="AB153" s="230"/>
    </row>
    <row r="154" spans="1:28">
      <c r="A154" s="117"/>
      <c r="B154" s="117"/>
      <c r="C154" s="117"/>
      <c r="D154" s="117"/>
      <c r="E154" s="117"/>
      <c r="F154" s="851" t="s">
        <v>418</v>
      </c>
      <c r="G154" s="852" t="s">
        <v>381</v>
      </c>
      <c r="H154" s="853">
        <f>IFERROR(IF(VLOOKUP(K154,데이터입력!$C$42:$L$137,5,FALSE)&lt;1000,ROUNDUP(VLOOKUP(K154,데이터입력!$C$42:$L$137,5,FALSE)*1/1000,0),ROUND(VLOOKUP(K154,데이터입력!$C$42:$L$137,5,FALSE)*1/1000,0)),0)</f>
        <v>0</v>
      </c>
      <c r="I154" s="853">
        <f t="shared" ref="I154:I155" si="69">IFERROR(IF(F154="06",IF(V154&lt;1000,ROUNDUP((V154)*1/1000,0),ROUND((V154)*1/1000,0)),IF(F154="07",IF(W154&lt;1000,ROUNDUP((W154)*1/1000,0),ROUND((W154)*1/1000,0)),IF(F154="05",IF(X154&lt;1000,ROUNDUP((X154)*1/1000,0),ROUND((X154)*1/1000,0))))),0)</f>
        <v>0</v>
      </c>
      <c r="J154" s="854">
        <f>I154-H154</f>
        <v>0</v>
      </c>
      <c r="K154" s="231" t="str">
        <f>L154&amp;"("&amp;G154&amp;")"</f>
        <v>임차료(보조금)</v>
      </c>
      <c r="L154" s="239" t="str">
        <f>L151</f>
        <v>임차료</v>
      </c>
      <c r="M154" s="240"/>
      <c r="N154" s="855">
        <f>IF(R154="",AA151,ROUNDUP(AA151/R154,-3))</f>
        <v>0</v>
      </c>
      <c r="O154" s="1135" t="str">
        <f t="shared" ref="O154:O155" si="70">IF(P154="","","x ")</f>
        <v/>
      </c>
      <c r="P154" s="857"/>
      <c r="Q154" s="856" t="s">
        <v>404</v>
      </c>
      <c r="R154" s="858">
        <f>IF(VLOOKUP($L154,데이터입력!$R$103:$U$132,4,FALSE)="",데이터입력!$Y$8,VLOOKUP($L154,데이터입력!$R$103:$U$132,4,FALSE))</f>
        <v>12</v>
      </c>
      <c r="S154" s="856"/>
      <c r="T154" s="856" t="s">
        <v>405</v>
      </c>
      <c r="U154" s="856"/>
      <c r="V154" s="861"/>
      <c r="W154" s="861">
        <f>IF(P154=0,N154*R154,N154*P154*R154)</f>
        <v>0</v>
      </c>
      <c r="X154" s="860"/>
      <c r="Y154" s="860"/>
      <c r="Z154" s="230"/>
      <c r="AA154" s="230"/>
      <c r="AB154" s="230"/>
    </row>
    <row r="155" spans="1:28">
      <c r="A155" s="117"/>
      <c r="B155" s="117"/>
      <c r="C155" s="117"/>
      <c r="D155" s="117"/>
      <c r="E155" s="117"/>
      <c r="F155" s="862" t="s">
        <v>85</v>
      </c>
      <c r="G155" s="863" t="s">
        <v>19</v>
      </c>
      <c r="H155" s="864">
        <f>IFERROR(IF(VLOOKUP(K155,데이터입력!$C$42:$L$137,5,FALSE)&lt;1000,ROUNDUP(VLOOKUP(K155,데이터입력!$C$42:$L$137,5,FALSE)*1/1000,0),ROUND(VLOOKUP(K155,데이터입력!$C$42:$L$137,5,FALSE)*1/1000,0)),0)</f>
        <v>0</v>
      </c>
      <c r="I155" s="864">
        <f t="shared" si="69"/>
        <v>0</v>
      </c>
      <c r="J155" s="865">
        <f>I155-H155</f>
        <v>0</v>
      </c>
      <c r="K155" s="232" t="str">
        <f t="shared" ref="K155" si="71">L155&amp;"("&amp;G155&amp;")"</f>
        <v>임차료(후원금)</v>
      </c>
      <c r="L155" s="241" t="str">
        <f>L151</f>
        <v>임차료</v>
      </c>
      <c r="M155" s="242"/>
      <c r="N155" s="866">
        <f>IF(R155="",AB151,ROUNDUP(AB151/R155,-3))</f>
        <v>0</v>
      </c>
      <c r="O155" s="1134" t="str">
        <f t="shared" si="70"/>
        <v/>
      </c>
      <c r="P155" s="868"/>
      <c r="Q155" s="867" t="s">
        <v>404</v>
      </c>
      <c r="R155" s="869">
        <f>IF(VLOOKUP($L155,데이터입력!$R$133:$U$158,4,FALSE)="",데이터입력!$Y$8,VLOOKUP($L155,데이터입력!$R$133:$U$158,4,FALSE))</f>
        <v>12</v>
      </c>
      <c r="S155" s="867"/>
      <c r="T155" s="867" t="s">
        <v>405</v>
      </c>
      <c r="U155" s="867"/>
      <c r="V155" s="872"/>
      <c r="W155" s="872"/>
      <c r="X155" s="871">
        <f>IF(P155=0,N155*R155,N155*P155*R155)</f>
        <v>0</v>
      </c>
      <c r="Y155" s="871"/>
      <c r="Z155" s="230"/>
      <c r="AA155" s="230"/>
      <c r="AB155" s="230"/>
    </row>
    <row r="156" spans="1:28">
      <c r="A156" s="117"/>
      <c r="B156" s="117"/>
      <c r="C156" s="107" t="s">
        <v>57</v>
      </c>
      <c r="D156" s="107" t="s">
        <v>57</v>
      </c>
      <c r="E156" s="107">
        <v>501030701</v>
      </c>
      <c r="F156" s="839" t="s">
        <v>83</v>
      </c>
      <c r="G156" s="840" t="s">
        <v>6</v>
      </c>
      <c r="H156" s="841">
        <f>IFERROR(IF(VLOOKUP(K156,데이터입력!$C$42:$L$137,5,FALSE)&lt;1000,ROUNDUP(VLOOKUP(K156,데이터입력!$C$42:$L$137,5,FALSE)*1/1000,0),ROUND(VLOOKUP(K156,데이터입력!$C$42:$L$137,5,FALSE)*1/1000,0)),0)</f>
        <v>24378</v>
      </c>
      <c r="I156" s="841">
        <f>IFERROR(IF(F156="06",IF(V156&lt;1000,ROUNDUP((V156)*1/1000,0),ROUND((V156)*1/1000,0)),IF(F156="07",IF(W156&lt;1000,ROUNDUP((W156)*1/1000,0),ROUND((W156)*1/1000,0)),IF(F156="05",IF(X156&lt;1000,ROUNDUP((X156)*1/1000,0),ROUND((X156)*1/1000,0))))),0)</f>
        <v>24378</v>
      </c>
      <c r="J156" s="841">
        <f>I156-H156</f>
        <v>0</v>
      </c>
      <c r="K156" s="842" t="str">
        <f>L156&amp;"("&amp;G156&amp;")"</f>
        <v>기타운영비(수익사업)</v>
      </c>
      <c r="L156" s="111" t="str">
        <f>D156</f>
        <v>기타운영비</v>
      </c>
      <c r="M156" s="112"/>
      <c r="N156" s="843"/>
      <c r="O156" s="844"/>
      <c r="P156" s="843"/>
      <c r="Q156" s="844"/>
      <c r="R156" s="843"/>
      <c r="S156" s="844"/>
      <c r="T156" s="844"/>
      <c r="U156" s="844"/>
      <c r="V156" s="845">
        <f>SUM(V157:V168)</f>
        <v>24378000</v>
      </c>
      <c r="W156" s="845">
        <f>SUM(W157:W168)</f>
        <v>0</v>
      </c>
      <c r="X156" s="845">
        <f>SUM(X157:X168)</f>
        <v>0</v>
      </c>
      <c r="Y156" s="845">
        <f>SUM(V156:X156)</f>
        <v>24378000</v>
      </c>
      <c r="Z156" s="154">
        <f>IFERROR(VLOOKUP(L156,데이터입력!$R$74:$V$128,3,FALSE),0)</f>
        <v>24378000</v>
      </c>
      <c r="AA156" s="228">
        <f>IFERROR(VLOOKUP($L167,데이터입력!$R$103:$U$132,3,FALSE),0)</f>
        <v>0</v>
      </c>
      <c r="AB156" s="228">
        <f>IFERROR(VLOOKUP($L168,데이터입력!$R$133:$U$158,3,FALSE),0)</f>
        <v>0</v>
      </c>
    </row>
    <row r="157" spans="1:28">
      <c r="A157" s="117"/>
      <c r="B157" s="117"/>
      <c r="C157" s="117"/>
      <c r="D157" s="117"/>
      <c r="E157" s="117"/>
      <c r="F157" s="846"/>
      <c r="G157" s="847"/>
      <c r="H157" s="848"/>
      <c r="I157" s="848"/>
      <c r="J157" s="848"/>
      <c r="K157" s="850"/>
      <c r="L157" s="126" t="str">
        <f>"  - "&amp;데이터입력!X51</f>
        <v xml:space="preserve">  - 기타운영비</v>
      </c>
      <c r="M157" s="210"/>
      <c r="N157" s="819">
        <f>데이터입력!Y51</f>
        <v>69000</v>
      </c>
      <c r="O157" s="120" t="str">
        <f t="shared" ref="O157:O166" si="72">IF(P157="","","x ")</f>
        <v/>
      </c>
      <c r="P157" s="821" t="str">
        <f>IF(OR(데이터입력!Z51="",데이터입력!Z51=0),"",데이터입력!Z51)</f>
        <v/>
      </c>
      <c r="Q157" s="820" t="s">
        <v>404</v>
      </c>
      <c r="R157" s="822">
        <f>IF(OR(데이터입력!AA51=0,데이터입력!AA51=""),데이터입력!$Y$8,데이터입력!AA51)</f>
        <v>12</v>
      </c>
      <c r="S157" s="820"/>
      <c r="T157" s="820" t="s">
        <v>405</v>
      </c>
      <c r="U157" s="820"/>
      <c r="V157" s="823">
        <f t="shared" ref="V157:V158" si="73">IF(P157="",N157*R157,N157*P157*R157)</f>
        <v>828000</v>
      </c>
      <c r="W157" s="825"/>
      <c r="X157" s="825"/>
      <c r="Y157" s="825"/>
      <c r="Z157" s="155"/>
      <c r="AA157" s="155"/>
      <c r="AB157" s="100"/>
    </row>
    <row r="158" spans="1:28">
      <c r="A158" s="117"/>
      <c r="B158" s="117"/>
      <c r="C158" s="117"/>
      <c r="D158" s="117"/>
      <c r="E158" s="117"/>
      <c r="F158" s="846"/>
      <c r="G158" s="847"/>
      <c r="H158" s="848"/>
      <c r="I158" s="848"/>
      <c r="J158" s="848"/>
      <c r="K158" s="850"/>
      <c r="L158" s="126" t="str">
        <f>"  - "&amp;데이터입력!X52</f>
        <v xml:space="preserve">  - 직원상여금</v>
      </c>
      <c r="M158" s="210"/>
      <c r="N158" s="819">
        <f>데이터입력!Y52</f>
        <v>50000</v>
      </c>
      <c r="O158" s="120" t="str">
        <f t="shared" si="72"/>
        <v xml:space="preserve">x </v>
      </c>
      <c r="P158" s="821">
        <f>IF(OR(데이터입력!Z52="",데이터입력!Z52=0),"",데이터입력!Z52)</f>
        <v>29</v>
      </c>
      <c r="Q158" s="820" t="s">
        <v>404</v>
      </c>
      <c r="R158" s="822">
        <f>IF(OR(데이터입력!AA52=0,데이터입력!AA52=""),데이터입력!$Y$8,데이터입력!AA52)</f>
        <v>1</v>
      </c>
      <c r="S158" s="820"/>
      <c r="T158" s="820" t="s">
        <v>405</v>
      </c>
      <c r="U158" s="820"/>
      <c r="V158" s="823">
        <f t="shared" si="73"/>
        <v>1450000</v>
      </c>
      <c r="W158" s="825"/>
      <c r="X158" s="825"/>
      <c r="Y158" s="825"/>
      <c r="Z158" s="155"/>
      <c r="AA158" s="155"/>
      <c r="AB158" s="100"/>
    </row>
    <row r="159" spans="1:28">
      <c r="A159" s="117"/>
      <c r="B159" s="117"/>
      <c r="C159" s="117"/>
      <c r="D159" s="117"/>
      <c r="E159" s="117"/>
      <c r="F159" s="846"/>
      <c r="G159" s="847"/>
      <c r="H159" s="848"/>
      <c r="I159" s="848"/>
      <c r="J159" s="848"/>
      <c r="K159" s="850"/>
      <c r="L159" s="126" t="str">
        <f>"  - "&amp;데이터입력!X53</f>
        <v xml:space="preserve">  - 명절상여금</v>
      </c>
      <c r="M159" s="210"/>
      <c r="N159" s="819">
        <f>데이터입력!Y53</f>
        <v>50000</v>
      </c>
      <c r="O159" s="120" t="str">
        <f t="shared" si="72"/>
        <v xml:space="preserve">x </v>
      </c>
      <c r="P159" s="821">
        <f>IF(OR(데이터입력!Z53="",데이터입력!Z53=0),"",데이터입력!Z53)</f>
        <v>29</v>
      </c>
      <c r="Q159" s="820" t="s">
        <v>404</v>
      </c>
      <c r="R159" s="822">
        <f>IF(OR(데이터입력!AA53=0,데이터입력!AA53=""),데이터입력!$Y$8,데이터입력!AA53)</f>
        <v>2</v>
      </c>
      <c r="S159" s="820"/>
      <c r="T159" s="820" t="s">
        <v>405</v>
      </c>
      <c r="U159" s="820"/>
      <c r="V159" s="823">
        <f>IF(P159="",N159*R159,N159*P159*R159)</f>
        <v>2900000</v>
      </c>
      <c r="W159" s="825"/>
      <c r="X159" s="825"/>
      <c r="Y159" s="825"/>
      <c r="Z159" s="155"/>
      <c r="AA159" s="155"/>
      <c r="AB159" s="100"/>
    </row>
    <row r="160" spans="1:28">
      <c r="A160" s="117"/>
      <c r="B160" s="117"/>
      <c r="C160" s="117"/>
      <c r="D160" s="117"/>
      <c r="E160" s="117"/>
      <c r="F160" s="846"/>
      <c r="G160" s="847"/>
      <c r="H160" s="848"/>
      <c r="I160" s="848"/>
      <c r="J160" s="848"/>
      <c r="K160" s="850"/>
      <c r="L160" s="126" t="str">
        <f>"  - "&amp;데이터입력!X54</f>
        <v xml:space="preserve">  - 직원교육비</v>
      </c>
      <c r="M160" s="210"/>
      <c r="N160" s="819">
        <f>데이터입력!Y54</f>
        <v>50000</v>
      </c>
      <c r="O160" s="120" t="str">
        <f t="shared" si="72"/>
        <v/>
      </c>
      <c r="P160" s="821" t="str">
        <f>IF(OR(데이터입력!Z54="",데이터입력!Z54=0),"",데이터입력!Z54)</f>
        <v/>
      </c>
      <c r="Q160" s="820" t="s">
        <v>404</v>
      </c>
      <c r="R160" s="822">
        <f>IF(OR(데이터입력!AA54=0,데이터입력!AA54=""),데이터입력!$Y$8,데이터입력!AA54)</f>
        <v>12</v>
      </c>
      <c r="S160" s="820"/>
      <c r="T160" s="820" t="s">
        <v>405</v>
      </c>
      <c r="U160" s="820"/>
      <c r="V160" s="823">
        <f>IF(P160="",N160*R160,N160*P160*R160)</f>
        <v>600000</v>
      </c>
      <c r="W160" s="825"/>
      <c r="X160" s="825"/>
      <c r="Y160" s="825"/>
      <c r="Z160" s="155"/>
      <c r="AA160" s="155"/>
      <c r="AB160" s="100"/>
    </row>
    <row r="161" spans="1:28">
      <c r="A161" s="117"/>
      <c r="B161" s="117"/>
      <c r="C161" s="117"/>
      <c r="D161" s="117"/>
      <c r="E161" s="117"/>
      <c r="F161" s="846"/>
      <c r="G161" s="847"/>
      <c r="H161" s="848"/>
      <c r="I161" s="848"/>
      <c r="J161" s="848"/>
      <c r="K161" s="850"/>
      <c r="L161" s="126" t="str">
        <f>"  - "&amp;데이터입력!X55</f>
        <v xml:space="preserve">  - 경조사비</v>
      </c>
      <c r="M161" s="210"/>
      <c r="N161" s="819">
        <f>데이터입력!Y55</f>
        <v>100000</v>
      </c>
      <c r="O161" s="120" t="str">
        <f t="shared" si="72"/>
        <v/>
      </c>
      <c r="P161" s="821" t="str">
        <f>IF(OR(데이터입력!Z55="",데이터입력!Z55=0),"",데이터입력!Z55)</f>
        <v/>
      </c>
      <c r="Q161" s="820" t="s">
        <v>404</v>
      </c>
      <c r="R161" s="822">
        <f>IF(OR(데이터입력!AA55=0,데이터입력!AA55=""),데이터입력!$Y$8,데이터입력!AA55)</f>
        <v>12</v>
      </c>
      <c r="S161" s="820"/>
      <c r="T161" s="820" t="s">
        <v>405</v>
      </c>
      <c r="U161" s="820"/>
      <c r="V161" s="823">
        <f t="shared" ref="V161:V165" si="74">IF(P161="",N161*R161,N161*P161*R161)</f>
        <v>1200000</v>
      </c>
      <c r="W161" s="825"/>
      <c r="X161" s="825"/>
      <c r="Y161" s="825"/>
      <c r="Z161" s="155"/>
      <c r="AA161" s="155"/>
      <c r="AB161" s="100"/>
    </row>
    <row r="162" spans="1:28">
      <c r="A162" s="117"/>
      <c r="B162" s="117"/>
      <c r="C162" s="117"/>
      <c r="D162" s="117"/>
      <c r="E162" s="117"/>
      <c r="F162" s="846"/>
      <c r="G162" s="847"/>
      <c r="H162" s="848"/>
      <c r="I162" s="848"/>
      <c r="J162" s="848"/>
      <c r="K162" s="850"/>
      <c r="L162" s="126" t="str">
        <f>"  - "&amp;데이터입력!X56</f>
        <v xml:space="preserve">  - 직원식대</v>
      </c>
      <c r="M162" s="210"/>
      <c r="N162" s="819">
        <f>데이터입력!Y56</f>
        <v>50000</v>
      </c>
      <c r="O162" s="120" t="str">
        <f t="shared" si="72"/>
        <v xml:space="preserve">x </v>
      </c>
      <c r="P162" s="821">
        <f>IF(OR(데이터입력!Z56="",데이터입력!Z56=0),"",데이터입력!Z56)</f>
        <v>29</v>
      </c>
      <c r="Q162" s="820" t="s">
        <v>404</v>
      </c>
      <c r="R162" s="822">
        <f>IF(OR(데이터입력!AA56=0,데이터입력!AA56=""),데이터입력!$Y$8,데이터입력!AA56)</f>
        <v>12</v>
      </c>
      <c r="S162" s="820"/>
      <c r="T162" s="820" t="s">
        <v>405</v>
      </c>
      <c r="U162" s="820"/>
      <c r="V162" s="823">
        <f t="shared" si="74"/>
        <v>17400000</v>
      </c>
      <c r="W162" s="825"/>
      <c r="X162" s="825"/>
      <c r="Y162" s="825"/>
      <c r="Z162" s="155"/>
      <c r="AA162" s="155"/>
      <c r="AB162" s="100"/>
    </row>
    <row r="163" spans="1:28">
      <c r="A163" s="117"/>
      <c r="B163" s="117"/>
      <c r="C163" s="117"/>
      <c r="D163" s="117"/>
      <c r="E163" s="117"/>
      <c r="F163" s="846"/>
      <c r="G163" s="847"/>
      <c r="H163" s="848"/>
      <c r="I163" s="848"/>
      <c r="J163" s="848"/>
      <c r="K163" s="850"/>
      <c r="L163" s="126" t="str">
        <f>"  - "&amp;데이터입력!X57</f>
        <v xml:space="preserve">  - </v>
      </c>
      <c r="M163" s="210"/>
      <c r="N163" s="819">
        <f>데이터입력!Y57</f>
        <v>0</v>
      </c>
      <c r="O163" s="120" t="str">
        <f t="shared" si="72"/>
        <v/>
      </c>
      <c r="P163" s="821" t="str">
        <f>IF(OR(데이터입력!Z57="",데이터입력!Z57=0),"",데이터입력!Z57)</f>
        <v/>
      </c>
      <c r="Q163" s="820" t="s">
        <v>404</v>
      </c>
      <c r="R163" s="822">
        <f>IF(OR(데이터입력!AA57=0,데이터입력!AA57=""),데이터입력!$Y$8,데이터입력!AA57)</f>
        <v>12</v>
      </c>
      <c r="S163" s="820"/>
      <c r="T163" s="820" t="s">
        <v>405</v>
      </c>
      <c r="U163" s="820"/>
      <c r="V163" s="823">
        <f t="shared" si="74"/>
        <v>0</v>
      </c>
      <c r="W163" s="825"/>
      <c r="X163" s="825"/>
      <c r="Y163" s="825"/>
      <c r="Z163" s="155"/>
      <c r="AA163" s="155"/>
      <c r="AB163" s="100"/>
    </row>
    <row r="164" spans="1:28">
      <c r="A164" s="117"/>
      <c r="B164" s="149"/>
      <c r="C164" s="117"/>
      <c r="D164" s="117"/>
      <c r="E164" s="117"/>
      <c r="F164" s="846"/>
      <c r="G164" s="847"/>
      <c r="H164" s="848"/>
      <c r="I164" s="848"/>
      <c r="J164" s="848"/>
      <c r="K164" s="850"/>
      <c r="L164" s="126" t="str">
        <f>"  - "&amp;데이터입력!X58</f>
        <v xml:space="preserve">  - </v>
      </c>
      <c r="M164" s="210"/>
      <c r="N164" s="819">
        <f>데이터입력!Y58</f>
        <v>0</v>
      </c>
      <c r="O164" s="120" t="str">
        <f t="shared" si="72"/>
        <v/>
      </c>
      <c r="P164" s="821" t="str">
        <f>IF(OR(데이터입력!Z58="",데이터입력!Z58=0),"",데이터입력!Z58)</f>
        <v/>
      </c>
      <c r="Q164" s="820" t="s">
        <v>404</v>
      </c>
      <c r="R164" s="822">
        <f>IF(OR(데이터입력!AA58=0,데이터입력!AA58=""),데이터입력!$Y$8,데이터입력!AA58)</f>
        <v>12</v>
      </c>
      <c r="S164" s="820"/>
      <c r="T164" s="820" t="s">
        <v>405</v>
      </c>
      <c r="U164" s="820"/>
      <c r="V164" s="823">
        <f t="shared" si="74"/>
        <v>0</v>
      </c>
      <c r="W164" s="825"/>
      <c r="X164" s="825"/>
      <c r="Y164" s="825"/>
      <c r="Z164" s="155"/>
      <c r="AA164" s="155"/>
      <c r="AB164" s="100"/>
    </row>
    <row r="165" spans="1:28">
      <c r="A165" s="117"/>
      <c r="B165" s="149"/>
      <c r="C165" s="117"/>
      <c r="D165" s="117"/>
      <c r="E165" s="117"/>
      <c r="F165" s="846"/>
      <c r="G165" s="847"/>
      <c r="H165" s="848"/>
      <c r="I165" s="848"/>
      <c r="J165" s="848"/>
      <c r="K165" s="850"/>
      <c r="L165" s="126" t="str">
        <f>"  - "&amp;데이터입력!X59</f>
        <v xml:space="preserve">  - </v>
      </c>
      <c r="M165" s="210"/>
      <c r="N165" s="819">
        <f>데이터입력!Y59</f>
        <v>0</v>
      </c>
      <c r="O165" s="120" t="str">
        <f t="shared" si="72"/>
        <v/>
      </c>
      <c r="P165" s="821" t="str">
        <f>IF(OR(데이터입력!Z59="",데이터입력!Z59=0),"",데이터입력!Z59)</f>
        <v/>
      </c>
      <c r="Q165" s="820" t="s">
        <v>404</v>
      </c>
      <c r="R165" s="822">
        <f>IF(OR(데이터입력!AA59=0,데이터입력!AA59=""),데이터입력!$Y$8,데이터입력!AA59)</f>
        <v>12</v>
      </c>
      <c r="S165" s="820"/>
      <c r="T165" s="820" t="s">
        <v>405</v>
      </c>
      <c r="U165" s="820"/>
      <c r="V165" s="823">
        <f t="shared" si="74"/>
        <v>0</v>
      </c>
      <c r="W165" s="825"/>
      <c r="X165" s="825"/>
      <c r="Y165" s="825"/>
      <c r="Z165" s="155"/>
      <c r="AA165" s="155"/>
      <c r="AB165" s="100"/>
    </row>
    <row r="166" spans="1:28" hidden="1">
      <c r="A166" s="117"/>
      <c r="B166" s="149"/>
      <c r="C166" s="117"/>
      <c r="D166" s="117"/>
      <c r="E166" s="117"/>
      <c r="F166" s="846"/>
      <c r="G166" s="847"/>
      <c r="H166" s="848"/>
      <c r="I166" s="848"/>
      <c r="J166" s="848"/>
      <c r="K166" s="850"/>
      <c r="L166" s="126" t="str">
        <f>"  - "&amp;데이터입력!X60</f>
        <v xml:space="preserve">  - </v>
      </c>
      <c r="M166" s="210"/>
      <c r="N166" s="819">
        <f>데이터입력!Y60</f>
        <v>0</v>
      </c>
      <c r="O166" s="120" t="str">
        <f t="shared" si="72"/>
        <v/>
      </c>
      <c r="P166" s="821" t="str">
        <f>IF(OR(데이터입력!Z60="",데이터입력!Z60=0),"",데이터입력!Z60)</f>
        <v/>
      </c>
      <c r="Q166" s="820" t="s">
        <v>404</v>
      </c>
      <c r="R166" s="822">
        <f>IF(OR(데이터입력!AA60=0,데이터입력!AA60=""),데이터입력!$Y$8,데이터입력!AA60)</f>
        <v>12</v>
      </c>
      <c r="S166" s="820"/>
      <c r="T166" s="820" t="s">
        <v>405</v>
      </c>
      <c r="U166" s="820"/>
      <c r="V166" s="823">
        <f t="shared" ref="V166" si="75">IF(P166="",N166*R166,N166*P166*R166)</f>
        <v>0</v>
      </c>
      <c r="W166" s="825"/>
      <c r="X166" s="825"/>
      <c r="Y166" s="825"/>
      <c r="Z166" s="155"/>
      <c r="AA166" s="155"/>
      <c r="AB166" s="100"/>
    </row>
    <row r="167" spans="1:28">
      <c r="A167" s="117"/>
      <c r="B167" s="117"/>
      <c r="C167" s="117"/>
      <c r="D167" s="117"/>
      <c r="E167" s="117"/>
      <c r="F167" s="851" t="s">
        <v>418</v>
      </c>
      <c r="G167" s="852" t="s">
        <v>381</v>
      </c>
      <c r="H167" s="853">
        <f>IFERROR(IF(VLOOKUP(K167,데이터입력!$C$42:$L$137,5,FALSE)&lt;1000,ROUNDUP(VLOOKUP(K167,데이터입력!$C$42:$L$137,5,FALSE)*1/1000,0),ROUND(VLOOKUP(K167,데이터입력!$C$42:$L$137,5,FALSE)*1/1000,0)),0)</f>
        <v>0</v>
      </c>
      <c r="I167" s="853">
        <f t="shared" ref="I167:I168" si="76">IFERROR(IF(F167="06",IF(V167&lt;1000,ROUNDUP((V167)*1/1000,0),ROUND((V167)*1/1000,0)),IF(F167="07",IF(W167&lt;1000,ROUNDUP((W167)*1/1000,0),ROUND((W167)*1/1000,0)),IF(F167="05",IF(X167&lt;1000,ROUNDUP((X167)*1/1000,0),ROUND((X167)*1/1000,0))))),0)</f>
        <v>0</v>
      </c>
      <c r="J167" s="854">
        <f>I167-H167</f>
        <v>0</v>
      </c>
      <c r="K167" s="231" t="str">
        <f>L167&amp;"("&amp;G167&amp;")"</f>
        <v>기타운영비(보조금)</v>
      </c>
      <c r="L167" s="239" t="str">
        <f>L156</f>
        <v>기타운영비</v>
      </c>
      <c r="M167" s="240"/>
      <c r="N167" s="855">
        <f>IF(R167="",AA156,ROUNDUP(AA156/R167,-3))</f>
        <v>0</v>
      </c>
      <c r="O167" s="1135" t="str">
        <f t="shared" ref="O167:O168" si="77">IF(P167="","","x ")</f>
        <v/>
      </c>
      <c r="P167" s="857"/>
      <c r="Q167" s="856" t="s">
        <v>404</v>
      </c>
      <c r="R167" s="858">
        <f>IF(VLOOKUP($L167,데이터입력!$R$103:$U$132,4,FALSE)="",데이터입력!$Y$8,VLOOKUP($L167,데이터입력!$R$103:$U$132,4,FALSE))</f>
        <v>12</v>
      </c>
      <c r="S167" s="856"/>
      <c r="T167" s="856" t="s">
        <v>405</v>
      </c>
      <c r="U167" s="856"/>
      <c r="V167" s="861"/>
      <c r="W167" s="861">
        <f>IF(P167=0,N167*R167,N167*P167*R167)</f>
        <v>0</v>
      </c>
      <c r="X167" s="860"/>
      <c r="Y167" s="860"/>
      <c r="Z167" s="100"/>
      <c r="AA167" s="100"/>
      <c r="AB167" s="100"/>
    </row>
    <row r="168" spans="1:28">
      <c r="A168" s="117"/>
      <c r="B168" s="117"/>
      <c r="C168" s="133"/>
      <c r="D168" s="133"/>
      <c r="E168" s="133"/>
      <c r="F168" s="862" t="s">
        <v>85</v>
      </c>
      <c r="G168" s="863" t="s">
        <v>19</v>
      </c>
      <c r="H168" s="864">
        <f>IFERROR(IF(VLOOKUP(K168,데이터입력!$C$42:$L$137,5,FALSE)&lt;1000,ROUNDUP(VLOOKUP(K168,데이터입력!$C$42:$L$137,5,FALSE)*1/1000,0),ROUND(VLOOKUP(K168,데이터입력!$C$42:$L$137,5,FALSE)*1/1000,0)),0)</f>
        <v>0</v>
      </c>
      <c r="I168" s="864">
        <f t="shared" si="76"/>
        <v>0</v>
      </c>
      <c r="J168" s="865">
        <f>I168-H168</f>
        <v>0</v>
      </c>
      <c r="K168" s="232" t="str">
        <f t="shared" ref="K168" si="78">L168&amp;"("&amp;G168&amp;")"</f>
        <v>기타운영비(후원금)</v>
      </c>
      <c r="L168" s="241" t="str">
        <f>L156</f>
        <v>기타운영비</v>
      </c>
      <c r="M168" s="242"/>
      <c r="N168" s="866">
        <f>IF(R168="",AB156,ROUNDUP(AB156/R168,0))</f>
        <v>0</v>
      </c>
      <c r="O168" s="1134" t="str">
        <f t="shared" si="77"/>
        <v/>
      </c>
      <c r="P168" s="868"/>
      <c r="Q168" s="867" t="s">
        <v>404</v>
      </c>
      <c r="R168" s="869">
        <f>IF(VLOOKUP($L168,데이터입력!$R$133:$U$158,4,FALSE)="",데이터입력!$Y$8,VLOOKUP($L168,데이터입력!$R$133:$U$158,4,FALSE))</f>
        <v>1</v>
      </c>
      <c r="S168" s="867"/>
      <c r="T168" s="867" t="s">
        <v>405</v>
      </c>
      <c r="U168" s="867"/>
      <c r="V168" s="872"/>
      <c r="W168" s="872"/>
      <c r="X168" s="871">
        <f>IF(P168=0,N168*R168,N168*P168*R168)</f>
        <v>0</v>
      </c>
      <c r="Y168" s="871"/>
      <c r="Z168" s="100"/>
      <c r="AA168" s="100"/>
      <c r="AB168" s="100"/>
    </row>
    <row r="169" spans="1:28">
      <c r="A169" s="265" t="s">
        <v>308</v>
      </c>
      <c r="B169" s="290" t="s">
        <v>58</v>
      </c>
      <c r="C169" s="261"/>
      <c r="D169" s="262"/>
      <c r="E169" s="262"/>
      <c r="F169" s="808"/>
      <c r="G169" s="808"/>
      <c r="H169" s="250">
        <f>SUM(H170:H192)</f>
        <v>63000</v>
      </c>
      <c r="I169" s="250">
        <f>SUM(I170:I192)</f>
        <v>63000</v>
      </c>
      <c r="J169" s="250">
        <f>SUM(J170:J192)</f>
        <v>0</v>
      </c>
      <c r="K169" s="250"/>
      <c r="L169" s="263"/>
      <c r="M169" s="263"/>
      <c r="N169" s="263"/>
      <c r="O169" s="263"/>
      <c r="P169" s="263"/>
      <c r="Q169" s="263"/>
      <c r="R169" s="263"/>
      <c r="S169" s="263"/>
      <c r="T169" s="263"/>
      <c r="U169" s="263"/>
      <c r="V169" s="252">
        <f>SUM(V170,V175,V188)</f>
        <v>63000000</v>
      </c>
      <c r="W169" s="252">
        <f>SUM(W170,W175,W188)</f>
        <v>0</v>
      </c>
      <c r="X169" s="252">
        <f>SUM(X170,X175,X188)</f>
        <v>0</v>
      </c>
      <c r="Y169" s="252">
        <f>SUM(V169:X169)</f>
        <v>63000000</v>
      </c>
      <c r="Z169" s="155"/>
      <c r="AA169" s="155"/>
      <c r="AB169" s="100"/>
    </row>
    <row r="170" spans="1:28">
      <c r="A170" s="117"/>
      <c r="B170" s="117"/>
      <c r="C170" s="107" t="s">
        <v>58</v>
      </c>
      <c r="D170" s="107" t="s">
        <v>58</v>
      </c>
      <c r="E170" s="107">
        <v>502010101</v>
      </c>
      <c r="F170" s="839" t="s">
        <v>83</v>
      </c>
      <c r="G170" s="840" t="s">
        <v>6</v>
      </c>
      <c r="H170" s="841">
        <f>IFERROR(IF(VLOOKUP(K170,데이터입력!$C$42:$L$137,5,FALSE)&lt;1000,ROUNDUP(VLOOKUP(K170,데이터입력!$C$42:$L$137,5,FALSE)*1/1000,0),ROUND(VLOOKUP(K170,데이터입력!$C$42:$L$137,5,FALSE)*1/1000,0)),0)</f>
        <v>30000</v>
      </c>
      <c r="I170" s="841">
        <f>IFERROR(IF(F170="06",IF(V170&lt;1000,ROUNDUP((V170)*1/1000,0),ROUND((V170)*1/1000,0)),IF(F170="07",IF(W170&lt;1000,ROUNDUP((W170)*1/1000,0),ROUND((W170)*1/1000,0)),IF(F170="05",IF(X170&lt;1000,ROUNDUP((X170)*1/1000,0),ROUND((X170)*1/1000,0))))),0)</f>
        <v>30000</v>
      </c>
      <c r="J170" s="841">
        <f>I170-H170</f>
        <v>0</v>
      </c>
      <c r="K170" s="842" t="str">
        <f>L170&amp;"("&amp;G170&amp;")"</f>
        <v>시설비(수익사업)</v>
      </c>
      <c r="L170" s="111" t="str">
        <f>D170</f>
        <v>시설비</v>
      </c>
      <c r="M170" s="112"/>
      <c r="N170" s="843"/>
      <c r="O170" s="844"/>
      <c r="P170" s="843"/>
      <c r="Q170" s="844"/>
      <c r="R170" s="843"/>
      <c r="S170" s="844"/>
      <c r="T170" s="844"/>
      <c r="U170" s="844"/>
      <c r="V170" s="845">
        <f>SUM(V171:V174)</f>
        <v>30000000</v>
      </c>
      <c r="W170" s="845">
        <f>SUM(W171:W174)</f>
        <v>0</v>
      </c>
      <c r="X170" s="845">
        <f>SUM(X171:X174)</f>
        <v>0</v>
      </c>
      <c r="Y170" s="845">
        <f>SUM(V170:X170)</f>
        <v>30000000</v>
      </c>
      <c r="Z170" s="228">
        <f>IFERROR(VLOOKUP($L170,데이터입력!$R$70:$U$102,3,FALSE),0)</f>
        <v>30000000</v>
      </c>
      <c r="AA170" s="228">
        <f>IFERROR(VLOOKUP($L173,데이터입력!$R$103:$U$132,3,FALSE),0)</f>
        <v>0</v>
      </c>
      <c r="AB170" s="228">
        <f>IFERROR(VLOOKUP($L174,데이터입력!$R$133:$U$158,3,FALSE),0)</f>
        <v>0</v>
      </c>
    </row>
    <row r="171" spans="1:28">
      <c r="A171" s="117"/>
      <c r="B171" s="117"/>
      <c r="C171" s="117"/>
      <c r="D171" s="117"/>
      <c r="E171" s="117"/>
      <c r="F171" s="846"/>
      <c r="G171" s="847"/>
      <c r="H171" s="848"/>
      <c r="I171" s="848"/>
      <c r="J171" s="848"/>
      <c r="K171" s="850"/>
      <c r="L171" s="126" t="str">
        <f>"  - "&amp;L170</f>
        <v xml:space="preserve">  - 시설비</v>
      </c>
      <c r="M171" s="210"/>
      <c r="N171" s="819">
        <f>IF(R171="",Z170,ROUNDUP((Z170-V172)/R171,-3))</f>
        <v>2500000</v>
      </c>
      <c r="O171" s="120" t="str">
        <f>IF(P171="","","x ")</f>
        <v/>
      </c>
      <c r="P171" s="821"/>
      <c r="Q171" s="820" t="str">
        <f>IF(R171="","","x ")</f>
        <v xml:space="preserve">x </v>
      </c>
      <c r="R171" s="822">
        <f>IF(VLOOKUP($L170,데이터입력!$R$70:$U$102,4,FALSE)="",데이터입력!$U$83,VLOOKUP($L170,데이터입력!$R$70:$U$102,4,FALSE))</f>
        <v>12</v>
      </c>
      <c r="S171" s="820"/>
      <c r="T171" s="820" t="s">
        <v>405</v>
      </c>
      <c r="U171" s="820"/>
      <c r="V171" s="823">
        <f>IF(R171="",N171,N171*R171)</f>
        <v>30000000</v>
      </c>
      <c r="W171" s="825"/>
      <c r="X171" s="825"/>
      <c r="Y171" s="825"/>
      <c r="Z171" s="229"/>
      <c r="AA171" s="229"/>
      <c r="AB171" s="230"/>
    </row>
    <row r="172" spans="1:28" hidden="1">
      <c r="A172" s="117"/>
      <c r="B172" s="117"/>
      <c r="C172" s="117"/>
      <c r="D172" s="117"/>
      <c r="E172" s="117"/>
      <c r="F172" s="846"/>
      <c r="G172" s="847"/>
      <c r="H172" s="848"/>
      <c r="I172" s="848"/>
      <c r="J172" s="848"/>
      <c r="K172" s="850"/>
      <c r="L172" s="126" t="s">
        <v>440</v>
      </c>
      <c r="M172" s="210"/>
      <c r="N172" s="819">
        <v>0</v>
      </c>
      <c r="O172" s="120" t="str">
        <f>IF(P172="","","x ")</f>
        <v/>
      </c>
      <c r="P172" s="821"/>
      <c r="Q172" s="820" t="s">
        <v>404</v>
      </c>
      <c r="R172" s="822">
        <f>IF(VLOOKUP($L170,데이터입력!$R$70:$U$102,4,FALSE)="",데이터입력!$Y$8,VLOOKUP($L170,데이터입력!$R$70:$U$102,4,FALSE))</f>
        <v>12</v>
      </c>
      <c r="S172" s="820"/>
      <c r="T172" s="820" t="s">
        <v>405</v>
      </c>
      <c r="U172" s="820"/>
      <c r="V172" s="823">
        <f>IF(P172=0,N172*R172,N172*P172*R172)</f>
        <v>0</v>
      </c>
      <c r="W172" s="825"/>
      <c r="X172" s="825"/>
      <c r="Y172" s="825"/>
      <c r="Z172" s="229"/>
      <c r="AA172" s="229"/>
      <c r="AB172" s="230"/>
    </row>
    <row r="173" spans="1:28">
      <c r="A173" s="117"/>
      <c r="B173" s="117"/>
      <c r="C173" s="117"/>
      <c r="D173" s="117"/>
      <c r="E173" s="117"/>
      <c r="F173" s="851" t="s">
        <v>418</v>
      </c>
      <c r="G173" s="852" t="s">
        <v>381</v>
      </c>
      <c r="H173" s="853">
        <f>IFERROR(IF(VLOOKUP(K173,데이터입력!$C$42:$L$137,5,FALSE)&lt;1000,ROUNDUP(VLOOKUP(K173,데이터입력!$C$42:$L$137,5,FALSE)*1/1000,0),ROUND(VLOOKUP(K173,데이터입력!$C$42:$L$137,5,FALSE)*1/1000,0)),0)</f>
        <v>0</v>
      </c>
      <c r="I173" s="853">
        <f t="shared" ref="I173:I174" si="79">IFERROR(IF(F173="06",IF(V173&lt;1000,ROUNDUP((V173)*1/1000,0),ROUND((V173)*1/1000,0)),IF(F173="07",IF(W173&lt;1000,ROUNDUP((W173)*1/1000,0),ROUND((W173)*1/1000,0)),IF(F173="05",IF(X173&lt;1000,ROUNDUP((X173)*1/1000,0),ROUND((X173)*1/1000,0))))),0)</f>
        <v>0</v>
      </c>
      <c r="J173" s="854">
        <f>I173-H173</f>
        <v>0</v>
      </c>
      <c r="K173" s="231" t="str">
        <f>L173&amp;"("&amp;G173&amp;")"</f>
        <v>시설비(보조금)</v>
      </c>
      <c r="L173" s="239" t="str">
        <f>L170</f>
        <v>시설비</v>
      </c>
      <c r="M173" s="240"/>
      <c r="N173" s="855">
        <f>IF(R173="",AA170,ROUNDUP(AA170/R173,-3))</f>
        <v>0</v>
      </c>
      <c r="O173" s="1135" t="str">
        <f t="shared" ref="O173:O174" si="80">IF(P173="","","x ")</f>
        <v/>
      </c>
      <c r="P173" s="857"/>
      <c r="Q173" s="856" t="s">
        <v>404</v>
      </c>
      <c r="R173" s="858">
        <f>IF(VLOOKUP($L173,데이터입력!$R$103:$U$132,4,FALSE)="",데이터입력!$Y$8,VLOOKUP($L173,데이터입력!$R$103:$U$132,4,FALSE))</f>
        <v>12</v>
      </c>
      <c r="S173" s="856"/>
      <c r="T173" s="856" t="s">
        <v>405</v>
      </c>
      <c r="U173" s="856"/>
      <c r="V173" s="861"/>
      <c r="W173" s="861">
        <f>IF(P173=0,N173*R173,N173*P173*R173)</f>
        <v>0</v>
      </c>
      <c r="X173" s="860"/>
      <c r="Y173" s="860"/>
      <c r="Z173" s="230"/>
      <c r="AA173" s="230"/>
      <c r="AB173" s="230"/>
    </row>
    <row r="174" spans="1:28">
      <c r="A174" s="117"/>
      <c r="B174" s="117"/>
      <c r="C174" s="117"/>
      <c r="D174" s="117"/>
      <c r="E174" s="117"/>
      <c r="F174" s="862" t="s">
        <v>85</v>
      </c>
      <c r="G174" s="863" t="s">
        <v>19</v>
      </c>
      <c r="H174" s="864">
        <f>IFERROR(IF(VLOOKUP(K174,데이터입력!$C$42:$L$137,5,FALSE)&lt;1000,ROUNDUP(VLOOKUP(K174,데이터입력!$C$42:$L$137,5,FALSE)*1/1000,0),ROUND(VLOOKUP(K174,데이터입력!$C$42:$L$137,5,FALSE)*1/1000,0)),0)</f>
        <v>0</v>
      </c>
      <c r="I174" s="864">
        <f t="shared" si="79"/>
        <v>0</v>
      </c>
      <c r="J174" s="865">
        <f>I174-H174</f>
        <v>0</v>
      </c>
      <c r="K174" s="232" t="str">
        <f t="shared" ref="K174" si="81">L174&amp;"("&amp;G174&amp;")"</f>
        <v>시설비(후원금)</v>
      </c>
      <c r="L174" s="241" t="str">
        <f>L170</f>
        <v>시설비</v>
      </c>
      <c r="M174" s="242"/>
      <c r="N174" s="866">
        <f>IF(R174="",AB170,ROUNDUP(AB170/R174,-3))</f>
        <v>0</v>
      </c>
      <c r="O174" s="1134" t="str">
        <f t="shared" si="80"/>
        <v/>
      </c>
      <c r="P174" s="868"/>
      <c r="Q174" s="867" t="s">
        <v>404</v>
      </c>
      <c r="R174" s="869">
        <f>IF(VLOOKUP($L174,데이터입력!$R$133:$U$158,4,FALSE)="",데이터입력!$Y$8,VLOOKUP($L174,데이터입력!$R$133:$U$158,4,FALSE))</f>
        <v>12</v>
      </c>
      <c r="S174" s="867"/>
      <c r="T174" s="867" t="s">
        <v>405</v>
      </c>
      <c r="U174" s="867"/>
      <c r="V174" s="872"/>
      <c r="W174" s="872"/>
      <c r="X174" s="871">
        <f>IF(P174=0,N174*R174,N174*P174*R174)</f>
        <v>0</v>
      </c>
      <c r="Y174" s="871"/>
      <c r="Z174" s="230"/>
      <c r="AA174" s="230"/>
      <c r="AB174" s="230"/>
    </row>
    <row r="175" spans="1:28">
      <c r="A175" s="117"/>
      <c r="B175" s="117"/>
      <c r="C175" s="107" t="s">
        <v>59</v>
      </c>
      <c r="D175" s="107" t="s">
        <v>59</v>
      </c>
      <c r="E175" s="107">
        <v>502010201</v>
      </c>
      <c r="F175" s="839" t="s">
        <v>83</v>
      </c>
      <c r="G175" s="840" t="s">
        <v>6</v>
      </c>
      <c r="H175" s="841">
        <f>IFERROR(IF(VLOOKUP(K175,데이터입력!$C$42:$L$137,5,FALSE)&lt;1000,ROUNDUP(VLOOKUP(K175,데이터입력!$C$42:$L$137,5,FALSE)*1/1000,0),ROUND(VLOOKUP(K175,데이터입력!$C$42:$L$137,5,FALSE)*1/1000,0)),0)</f>
        <v>16200</v>
      </c>
      <c r="I175" s="841">
        <f>IFERROR(IF(F175="06",IF(V175&lt;1000,ROUNDUP((V175)*1/1000,0),ROUND((V175)*1/1000,0)),IF(F175="07",IF(W175&lt;1000,ROUNDUP((W175)*1/1000,0),ROUND((W175)*1/1000,0)),IF(F175="05",IF(X175&lt;1000,ROUNDUP((X175)*1/1000,0),ROUND((X175)*1/1000,0))))),0)</f>
        <v>16200</v>
      </c>
      <c r="J175" s="841">
        <f>I175-H175</f>
        <v>0</v>
      </c>
      <c r="K175" s="842" t="str">
        <f>L175&amp;"("&amp;G175&amp;")"</f>
        <v>자산취득비(수익사업)</v>
      </c>
      <c r="L175" s="111" t="str">
        <f>D175</f>
        <v>자산취득비</v>
      </c>
      <c r="M175" s="112"/>
      <c r="N175" s="843"/>
      <c r="O175" s="844"/>
      <c r="P175" s="843"/>
      <c r="Q175" s="844"/>
      <c r="R175" s="843"/>
      <c r="S175" s="844"/>
      <c r="T175" s="844"/>
      <c r="U175" s="844"/>
      <c r="V175" s="845">
        <f>SUM(V176:V187)</f>
        <v>16200000</v>
      </c>
      <c r="W175" s="845">
        <f>SUM(W176:W187)</f>
        <v>0</v>
      </c>
      <c r="X175" s="845">
        <f>SUM(X176:X187)</f>
        <v>0</v>
      </c>
      <c r="Y175" s="845">
        <f>SUM(V175:X175)</f>
        <v>16200000</v>
      </c>
      <c r="Z175" s="228">
        <f>IFERROR(VLOOKUP($L175,데이터입력!$R$70:$U$102,3,FALSE),0)</f>
        <v>16200000</v>
      </c>
      <c r="AA175" s="228">
        <f>IFERROR(VLOOKUP($L186,데이터입력!$R$103:$U$132,3,FALSE),0)</f>
        <v>0</v>
      </c>
      <c r="AB175" s="228">
        <f>IFERROR(VLOOKUP($L187,데이터입력!$R$133:$U$158,3,FALSE),0)</f>
        <v>0</v>
      </c>
    </row>
    <row r="176" spans="1:28">
      <c r="A176" s="117"/>
      <c r="B176" s="117"/>
      <c r="C176" s="117"/>
      <c r="D176" s="117"/>
      <c r="E176" s="117"/>
      <c r="F176" s="846"/>
      <c r="G176" s="847"/>
      <c r="H176" s="848"/>
      <c r="I176" s="848"/>
      <c r="J176" s="848"/>
      <c r="K176" s="850"/>
      <c r="L176" s="126" t="str">
        <f>"  - "&amp;데이터입력!AB51</f>
        <v xml:space="preserve">  - 비품구입비</v>
      </c>
      <c r="M176" s="210"/>
      <c r="N176" s="819">
        <f>데이터입력!AC51</f>
        <v>1350000</v>
      </c>
      <c r="O176" s="120" t="str">
        <f t="shared" ref="O176:O185" si="82">IF(P176="","","x ")</f>
        <v/>
      </c>
      <c r="P176" s="821"/>
      <c r="Q176" s="820" t="s">
        <v>404</v>
      </c>
      <c r="R176" s="822">
        <f>IF(VLOOKUP($L175,데이터입력!$R$70:$U$102,4,FALSE)="",데이터입력!$U$84,VLOOKUP($L175,데이터입력!$R$70:$U$102,4,FALSE))</f>
        <v>12</v>
      </c>
      <c r="S176" s="820"/>
      <c r="T176" s="820" t="s">
        <v>405</v>
      </c>
      <c r="U176" s="820"/>
      <c r="V176" s="823">
        <f t="shared" ref="V176:V185" si="83">IF(P176="",N176*R176,N176*P176*R176)</f>
        <v>16200000</v>
      </c>
      <c r="W176" s="825"/>
      <c r="X176" s="825"/>
      <c r="Y176" s="825"/>
      <c r="Z176" s="155"/>
      <c r="AA176" s="155"/>
      <c r="AB176" s="100"/>
    </row>
    <row r="177" spans="1:28">
      <c r="A177" s="117"/>
      <c r="B177" s="117"/>
      <c r="C177" s="117"/>
      <c r="D177" s="117"/>
      <c r="E177" s="117"/>
      <c r="F177" s="846"/>
      <c r="G177" s="847"/>
      <c r="H177" s="848"/>
      <c r="I177" s="848"/>
      <c r="J177" s="848"/>
      <c r="K177" s="850"/>
      <c r="L177" s="126" t="str">
        <f>"  - "&amp;데이터입력!AB52</f>
        <v xml:space="preserve">  - </v>
      </c>
      <c r="M177" s="210"/>
      <c r="N177" s="819">
        <f>데이터입력!AC52</f>
        <v>0</v>
      </c>
      <c r="O177" s="120" t="str">
        <f t="shared" si="82"/>
        <v/>
      </c>
      <c r="P177" s="821"/>
      <c r="Q177" s="820" t="s">
        <v>404</v>
      </c>
      <c r="R177" s="822">
        <f>데이터입력!$U$84</f>
        <v>12</v>
      </c>
      <c r="S177" s="820"/>
      <c r="T177" s="820" t="s">
        <v>405</v>
      </c>
      <c r="U177" s="820"/>
      <c r="V177" s="823">
        <f t="shared" si="83"/>
        <v>0</v>
      </c>
      <c r="W177" s="825"/>
      <c r="X177" s="825"/>
      <c r="Y177" s="825"/>
      <c r="Z177" s="155"/>
      <c r="AA177" s="155"/>
      <c r="AB177" s="100"/>
    </row>
    <row r="178" spans="1:28">
      <c r="A178" s="117"/>
      <c r="B178" s="117"/>
      <c r="C178" s="117"/>
      <c r="D178" s="117"/>
      <c r="E178" s="117"/>
      <c r="F178" s="846"/>
      <c r="G178" s="847"/>
      <c r="H178" s="848"/>
      <c r="I178" s="848"/>
      <c r="J178" s="848"/>
      <c r="K178" s="850"/>
      <c r="L178" s="126" t="str">
        <f>"  - "&amp;데이터입력!AB53</f>
        <v xml:space="preserve">  - </v>
      </c>
      <c r="M178" s="210"/>
      <c r="N178" s="819">
        <f>데이터입력!AC53</f>
        <v>0</v>
      </c>
      <c r="O178" s="120" t="str">
        <f t="shared" si="82"/>
        <v/>
      </c>
      <c r="P178" s="821"/>
      <c r="Q178" s="820" t="s">
        <v>404</v>
      </c>
      <c r="R178" s="822">
        <f>데이터입력!$U$84</f>
        <v>12</v>
      </c>
      <c r="S178" s="820"/>
      <c r="T178" s="820" t="s">
        <v>405</v>
      </c>
      <c r="U178" s="820"/>
      <c r="V178" s="823">
        <f t="shared" si="83"/>
        <v>0</v>
      </c>
      <c r="W178" s="825"/>
      <c r="X178" s="825"/>
      <c r="Y178" s="825"/>
      <c r="Z178" s="155"/>
      <c r="AA178" s="155"/>
      <c r="AB178" s="100"/>
    </row>
    <row r="179" spans="1:28" hidden="1">
      <c r="A179" s="117"/>
      <c r="B179" s="117"/>
      <c r="C179" s="117"/>
      <c r="D179" s="117"/>
      <c r="E179" s="117"/>
      <c r="F179" s="846"/>
      <c r="G179" s="847"/>
      <c r="H179" s="848"/>
      <c r="I179" s="848"/>
      <c r="J179" s="848"/>
      <c r="K179" s="850"/>
      <c r="L179" s="126" t="str">
        <f>"  - "&amp;데이터입력!AB54</f>
        <v xml:space="preserve">  - </v>
      </c>
      <c r="M179" s="210"/>
      <c r="N179" s="819">
        <f>데이터입력!AC54</f>
        <v>0</v>
      </c>
      <c r="O179" s="120" t="str">
        <f t="shared" si="82"/>
        <v/>
      </c>
      <c r="P179" s="821"/>
      <c r="Q179" s="820" t="s">
        <v>404</v>
      </c>
      <c r="R179" s="822">
        <f>데이터입력!$Y$8</f>
        <v>12</v>
      </c>
      <c r="S179" s="820"/>
      <c r="T179" s="820" t="s">
        <v>405</v>
      </c>
      <c r="U179" s="820"/>
      <c r="V179" s="823">
        <f t="shared" si="83"/>
        <v>0</v>
      </c>
      <c r="W179" s="825"/>
      <c r="X179" s="825"/>
      <c r="Y179" s="825"/>
      <c r="Z179" s="155"/>
      <c r="AA179" s="155"/>
      <c r="AB179" s="100"/>
    </row>
    <row r="180" spans="1:28" hidden="1">
      <c r="A180" s="117"/>
      <c r="B180" s="117"/>
      <c r="C180" s="117"/>
      <c r="D180" s="117"/>
      <c r="E180" s="117"/>
      <c r="F180" s="846"/>
      <c r="G180" s="847"/>
      <c r="H180" s="848"/>
      <c r="I180" s="848"/>
      <c r="J180" s="848"/>
      <c r="K180" s="850"/>
      <c r="L180" s="126" t="str">
        <f>"  - "&amp;데이터입력!AB55</f>
        <v xml:space="preserve">  - </v>
      </c>
      <c r="M180" s="210"/>
      <c r="N180" s="819">
        <f>데이터입력!AC55</f>
        <v>0</v>
      </c>
      <c r="O180" s="120" t="str">
        <f t="shared" si="82"/>
        <v/>
      </c>
      <c r="P180" s="821"/>
      <c r="Q180" s="820" t="s">
        <v>404</v>
      </c>
      <c r="R180" s="822">
        <f>데이터입력!$Y$8</f>
        <v>12</v>
      </c>
      <c r="S180" s="820"/>
      <c r="T180" s="820" t="s">
        <v>405</v>
      </c>
      <c r="U180" s="820"/>
      <c r="V180" s="823">
        <f t="shared" si="83"/>
        <v>0</v>
      </c>
      <c r="W180" s="825"/>
      <c r="X180" s="825"/>
      <c r="Y180" s="825"/>
      <c r="Z180" s="155"/>
      <c r="AA180" s="155"/>
      <c r="AB180" s="100"/>
    </row>
    <row r="181" spans="1:28" hidden="1">
      <c r="A181" s="117"/>
      <c r="B181" s="117"/>
      <c r="C181" s="117"/>
      <c r="D181" s="117"/>
      <c r="E181" s="117"/>
      <c r="F181" s="846"/>
      <c r="G181" s="847"/>
      <c r="H181" s="848"/>
      <c r="I181" s="848"/>
      <c r="J181" s="848"/>
      <c r="K181" s="850"/>
      <c r="L181" s="126" t="str">
        <f>"  - "&amp;데이터입력!AB56</f>
        <v xml:space="preserve">  - </v>
      </c>
      <c r="M181" s="210"/>
      <c r="N181" s="819">
        <f>데이터입력!AC56</f>
        <v>0</v>
      </c>
      <c r="O181" s="120" t="str">
        <f t="shared" si="82"/>
        <v/>
      </c>
      <c r="P181" s="821"/>
      <c r="Q181" s="820" t="s">
        <v>404</v>
      </c>
      <c r="R181" s="822">
        <f>데이터입력!$Y$8</f>
        <v>12</v>
      </c>
      <c r="S181" s="820"/>
      <c r="T181" s="820" t="s">
        <v>405</v>
      </c>
      <c r="U181" s="820"/>
      <c r="V181" s="823">
        <f t="shared" si="83"/>
        <v>0</v>
      </c>
      <c r="W181" s="825"/>
      <c r="X181" s="825"/>
      <c r="Y181" s="825"/>
      <c r="Z181" s="155"/>
      <c r="AA181" s="155"/>
      <c r="AB181" s="100"/>
    </row>
    <row r="182" spans="1:28" hidden="1">
      <c r="A182" s="117"/>
      <c r="B182" s="117"/>
      <c r="C182" s="117"/>
      <c r="D182" s="117"/>
      <c r="E182" s="117"/>
      <c r="F182" s="846"/>
      <c r="G182" s="847"/>
      <c r="H182" s="848"/>
      <c r="I182" s="848"/>
      <c r="J182" s="848"/>
      <c r="K182" s="850"/>
      <c r="L182" s="126" t="str">
        <f>"  - "&amp;데이터입력!AB57</f>
        <v xml:space="preserve">  - </v>
      </c>
      <c r="M182" s="210"/>
      <c r="N182" s="819">
        <f>데이터입력!AC57</f>
        <v>0</v>
      </c>
      <c r="O182" s="120" t="str">
        <f t="shared" si="82"/>
        <v/>
      </c>
      <c r="P182" s="821"/>
      <c r="Q182" s="820" t="s">
        <v>404</v>
      </c>
      <c r="R182" s="822">
        <f>데이터입력!$Y$8</f>
        <v>12</v>
      </c>
      <c r="S182" s="820"/>
      <c r="T182" s="820" t="s">
        <v>405</v>
      </c>
      <c r="U182" s="820"/>
      <c r="V182" s="823">
        <f t="shared" si="83"/>
        <v>0</v>
      </c>
      <c r="W182" s="825"/>
      <c r="X182" s="825"/>
      <c r="Y182" s="825"/>
      <c r="Z182" s="155"/>
      <c r="AA182" s="155"/>
      <c r="AB182" s="100"/>
    </row>
    <row r="183" spans="1:28" hidden="1">
      <c r="A183" s="117"/>
      <c r="B183" s="117"/>
      <c r="C183" s="117"/>
      <c r="D183" s="117"/>
      <c r="E183" s="117"/>
      <c r="F183" s="846"/>
      <c r="G183" s="847"/>
      <c r="H183" s="848"/>
      <c r="I183" s="848"/>
      <c r="J183" s="848"/>
      <c r="K183" s="850"/>
      <c r="L183" s="126" t="str">
        <f>"  - "&amp;데이터입력!AB58</f>
        <v xml:space="preserve">  - </v>
      </c>
      <c r="M183" s="210"/>
      <c r="N183" s="819">
        <f>데이터입력!AC58</f>
        <v>0</v>
      </c>
      <c r="O183" s="120" t="str">
        <f t="shared" si="82"/>
        <v/>
      </c>
      <c r="P183" s="821"/>
      <c r="Q183" s="820" t="s">
        <v>404</v>
      </c>
      <c r="R183" s="822">
        <f>데이터입력!$Y$8</f>
        <v>12</v>
      </c>
      <c r="S183" s="820"/>
      <c r="T183" s="820" t="s">
        <v>405</v>
      </c>
      <c r="U183" s="820"/>
      <c r="V183" s="823">
        <f t="shared" si="83"/>
        <v>0</v>
      </c>
      <c r="W183" s="825"/>
      <c r="X183" s="825"/>
      <c r="Y183" s="825"/>
      <c r="Z183" s="155"/>
      <c r="AA183" s="155"/>
      <c r="AB183" s="100"/>
    </row>
    <row r="184" spans="1:28" hidden="1">
      <c r="A184" s="117"/>
      <c r="B184" s="117"/>
      <c r="C184" s="117"/>
      <c r="D184" s="117"/>
      <c r="E184" s="117"/>
      <c r="F184" s="846"/>
      <c r="G184" s="847"/>
      <c r="H184" s="848"/>
      <c r="I184" s="848"/>
      <c r="J184" s="848"/>
      <c r="K184" s="850"/>
      <c r="L184" s="126" t="str">
        <f>"  - "&amp;데이터입력!AB59</f>
        <v xml:space="preserve">  - </v>
      </c>
      <c r="M184" s="210"/>
      <c r="N184" s="819">
        <f>데이터입력!AC59</f>
        <v>0</v>
      </c>
      <c r="O184" s="120" t="str">
        <f t="shared" si="82"/>
        <v/>
      </c>
      <c r="P184" s="821"/>
      <c r="Q184" s="820" t="s">
        <v>404</v>
      </c>
      <c r="R184" s="822">
        <f>데이터입력!$Y$8</f>
        <v>12</v>
      </c>
      <c r="S184" s="820"/>
      <c r="T184" s="820" t="s">
        <v>405</v>
      </c>
      <c r="U184" s="820"/>
      <c r="V184" s="823">
        <f t="shared" si="83"/>
        <v>0</v>
      </c>
      <c r="W184" s="825"/>
      <c r="X184" s="825"/>
      <c r="Y184" s="825"/>
      <c r="Z184" s="155"/>
      <c r="AA184" s="155"/>
      <c r="AB184" s="100"/>
    </row>
    <row r="185" spans="1:28" hidden="1">
      <c r="A185" s="117"/>
      <c r="B185" s="117"/>
      <c r="C185" s="117"/>
      <c r="D185" s="117"/>
      <c r="E185" s="117"/>
      <c r="F185" s="846"/>
      <c r="G185" s="847"/>
      <c r="H185" s="848"/>
      <c r="I185" s="848"/>
      <c r="J185" s="848"/>
      <c r="K185" s="850"/>
      <c r="L185" s="126" t="str">
        <f>"  - "&amp;데이터입력!AB60</f>
        <v xml:space="preserve">  - </v>
      </c>
      <c r="M185" s="210"/>
      <c r="N185" s="819">
        <f>데이터입력!AC60</f>
        <v>0</v>
      </c>
      <c r="O185" s="120" t="str">
        <f t="shared" si="82"/>
        <v/>
      </c>
      <c r="P185" s="821"/>
      <c r="Q185" s="820" t="s">
        <v>404</v>
      </c>
      <c r="R185" s="822">
        <f>데이터입력!$Y$8</f>
        <v>12</v>
      </c>
      <c r="S185" s="820"/>
      <c r="T185" s="820" t="s">
        <v>405</v>
      </c>
      <c r="U185" s="820"/>
      <c r="V185" s="823">
        <f t="shared" si="83"/>
        <v>0</v>
      </c>
      <c r="W185" s="825"/>
      <c r="X185" s="825"/>
      <c r="Y185" s="825"/>
      <c r="Z185" s="155"/>
      <c r="AA185" s="155"/>
      <c r="AB185" s="100"/>
    </row>
    <row r="186" spans="1:28">
      <c r="A186" s="117"/>
      <c r="B186" s="117"/>
      <c r="C186" s="117"/>
      <c r="D186" s="117"/>
      <c r="E186" s="117"/>
      <c r="F186" s="851" t="s">
        <v>418</v>
      </c>
      <c r="G186" s="852" t="s">
        <v>381</v>
      </c>
      <c r="H186" s="853">
        <f>IFERROR(IF(VLOOKUP(K186,데이터입력!$C$42:$L$137,5,FALSE)&lt;1000,ROUNDUP(VLOOKUP(K186,데이터입력!$C$42:$L$137,5,FALSE)*1/1000,0),ROUND(VLOOKUP(K186,데이터입력!$C$42:$L$137,5,FALSE)*1/1000,0)),0)</f>
        <v>0</v>
      </c>
      <c r="I186" s="853">
        <f t="shared" ref="I186:I187" si="84">IFERROR(IF(F186="06",IF(V186&lt;1000,ROUNDUP((V186)*1/1000,0),ROUND((V186)*1/1000,0)),IF(F186="07",IF(W186&lt;1000,ROUNDUP((W186)*1/1000,0),ROUND((W186)*1/1000,0)),IF(F186="05",IF(X186&lt;1000,ROUNDUP((X186)*1/1000,0),ROUND((X186)*1/1000,0))))),0)</f>
        <v>0</v>
      </c>
      <c r="J186" s="854">
        <f>I186-H186</f>
        <v>0</v>
      </c>
      <c r="K186" s="231" t="str">
        <f>L186&amp;"("&amp;G186&amp;")"</f>
        <v>자산취득비(보조금)</v>
      </c>
      <c r="L186" s="239" t="str">
        <f>L175</f>
        <v>자산취득비</v>
      </c>
      <c r="M186" s="240"/>
      <c r="N186" s="855">
        <f>IF(R186="",AA175,ROUNDUP(AA175/R186,-3))</f>
        <v>0</v>
      </c>
      <c r="O186" s="1135" t="str">
        <f t="shared" ref="O186:O187" si="85">IF(P186="","","x ")</f>
        <v/>
      </c>
      <c r="P186" s="857"/>
      <c r="Q186" s="856" t="s">
        <v>404</v>
      </c>
      <c r="R186" s="858">
        <f>IF(VLOOKUP($L186,데이터입력!$R$103:$U$132,4,FALSE)="",데이터입력!$Y$8,VLOOKUP($L186,데이터입력!$R$103:$U$132,4,FALSE))</f>
        <v>1</v>
      </c>
      <c r="S186" s="856"/>
      <c r="T186" s="856" t="s">
        <v>405</v>
      </c>
      <c r="U186" s="856"/>
      <c r="V186" s="861"/>
      <c r="W186" s="861">
        <f>IF(P186=0,N186*R186,N186*P186*R186)</f>
        <v>0</v>
      </c>
      <c r="X186" s="860"/>
      <c r="Y186" s="860"/>
      <c r="Z186" s="100"/>
      <c r="AA186" s="100"/>
      <c r="AB186" s="100"/>
    </row>
    <row r="187" spans="1:28">
      <c r="A187" s="117"/>
      <c r="B187" s="117"/>
      <c r="C187" s="117"/>
      <c r="D187" s="117"/>
      <c r="E187" s="117"/>
      <c r="F187" s="862" t="s">
        <v>85</v>
      </c>
      <c r="G187" s="863" t="s">
        <v>19</v>
      </c>
      <c r="H187" s="864">
        <f>IFERROR(IF(VLOOKUP(K187,데이터입력!$C$42:$L$137,5,FALSE)&lt;1000,ROUNDUP(VLOOKUP(K187,데이터입력!$C$42:$L$137,5,FALSE)*1/1000,0),ROUND(VLOOKUP(K187,데이터입력!$C$42:$L$137,5,FALSE)*1/1000,0)),0)</f>
        <v>0</v>
      </c>
      <c r="I187" s="864">
        <f t="shared" si="84"/>
        <v>0</v>
      </c>
      <c r="J187" s="865">
        <f>I187-H187</f>
        <v>0</v>
      </c>
      <c r="K187" s="232" t="str">
        <f t="shared" ref="K187" si="86">L187&amp;"("&amp;G187&amp;")"</f>
        <v>자산취득비(후원금)</v>
      </c>
      <c r="L187" s="241" t="str">
        <f>L175</f>
        <v>자산취득비</v>
      </c>
      <c r="M187" s="242"/>
      <c r="N187" s="866">
        <f>IF(R187="",AB175,ROUNDUP(AB175/R187,-3))</f>
        <v>0</v>
      </c>
      <c r="O187" s="1134" t="str">
        <f t="shared" si="85"/>
        <v/>
      </c>
      <c r="P187" s="868"/>
      <c r="Q187" s="867" t="s">
        <v>404</v>
      </c>
      <c r="R187" s="869">
        <f>IF(VLOOKUP($L187,데이터입력!$R$133:$U$158,4,FALSE)="",데이터입력!$Y$8,VLOOKUP($L187,데이터입력!$R$133:$U$158,4,FALSE))</f>
        <v>12</v>
      </c>
      <c r="S187" s="867"/>
      <c r="T187" s="867" t="s">
        <v>405</v>
      </c>
      <c r="U187" s="867"/>
      <c r="V187" s="872"/>
      <c r="W187" s="872"/>
      <c r="X187" s="871">
        <f>IF(P187=0,N187*R187,N187*P187*R187)</f>
        <v>0</v>
      </c>
      <c r="Y187" s="871"/>
      <c r="Z187" s="100"/>
      <c r="AA187" s="100"/>
      <c r="AB187" s="100"/>
    </row>
    <row r="188" spans="1:28">
      <c r="A188" s="117"/>
      <c r="B188" s="117"/>
      <c r="C188" s="107" t="s">
        <v>60</v>
      </c>
      <c r="D188" s="107" t="s">
        <v>60</v>
      </c>
      <c r="E188" s="107">
        <v>502010301</v>
      </c>
      <c r="F188" s="839" t="s">
        <v>83</v>
      </c>
      <c r="G188" s="840" t="s">
        <v>6</v>
      </c>
      <c r="H188" s="841">
        <f>IFERROR(IF(VLOOKUP(K188,데이터입력!$C$42:$L$137,5,FALSE)&lt;1000,ROUNDUP(VLOOKUP(K188,데이터입력!$C$42:$L$137,5,FALSE)*1/1000,0),ROUND(VLOOKUP(K188,데이터입력!$C$42:$L$137,5,FALSE)*1/1000,0)),0)</f>
        <v>16800</v>
      </c>
      <c r="I188" s="841">
        <f>IFERROR(IF(F188="06",IF(V188&lt;1000,ROUNDUP((V188)*1/1000,0),ROUND((V188)*1/1000,0)),IF(F188="07",IF(W188&lt;1000,ROUNDUP((W188)*1/1000,0),ROUND((W188)*1/1000,0)),IF(F188="05",IF(X188&lt;1000,ROUNDUP((X188)*1/1000,0),ROUND((X188)*1/1000,0))))),0)</f>
        <v>16800</v>
      </c>
      <c r="J188" s="841">
        <f>I188-H188</f>
        <v>0</v>
      </c>
      <c r="K188" s="842" t="str">
        <f>L188&amp;"("&amp;G188&amp;")"</f>
        <v>시설장비유지비(수익사업)</v>
      </c>
      <c r="L188" s="111" t="str">
        <f>D188</f>
        <v>시설장비유지비</v>
      </c>
      <c r="M188" s="112"/>
      <c r="N188" s="843"/>
      <c r="O188" s="844"/>
      <c r="P188" s="843"/>
      <c r="Q188" s="844"/>
      <c r="R188" s="843"/>
      <c r="S188" s="844"/>
      <c r="T188" s="844"/>
      <c r="U188" s="844"/>
      <c r="V188" s="845">
        <f>SUM(V189:V192)</f>
        <v>16800000</v>
      </c>
      <c r="W188" s="845">
        <f>SUM(W189:W192)</f>
        <v>0</v>
      </c>
      <c r="X188" s="845">
        <f>SUM(X189:X192)</f>
        <v>0</v>
      </c>
      <c r="Y188" s="845">
        <f>SUM(V188:X188)</f>
        <v>16800000</v>
      </c>
      <c r="Z188" s="228">
        <f>IFERROR(VLOOKUP($L188,데이터입력!$R$70:$U$102,3,FALSE),0)</f>
        <v>16800000</v>
      </c>
      <c r="AA188" s="228">
        <f>IFERROR(VLOOKUP($L191,데이터입력!$R$103:$U$132,3,FALSE),0)</f>
        <v>0</v>
      </c>
      <c r="AB188" s="228">
        <f>IFERROR(VLOOKUP($L192,데이터입력!$R$133:$U$158,3,FALSE),0)</f>
        <v>0</v>
      </c>
    </row>
    <row r="189" spans="1:28">
      <c r="A189" s="117"/>
      <c r="B189" s="117"/>
      <c r="C189" s="117"/>
      <c r="D189" s="117"/>
      <c r="E189" s="117"/>
      <c r="F189" s="846"/>
      <c r="G189" s="847"/>
      <c r="H189" s="848"/>
      <c r="I189" s="848"/>
      <c r="J189" s="848"/>
      <c r="K189" s="850"/>
      <c r="L189" s="126" t="s">
        <v>441</v>
      </c>
      <c r="M189" s="210"/>
      <c r="N189" s="819">
        <f>IF(R189="",Z188,ROUNDUP((Z188-V190)/R189,-3))</f>
        <v>1400000</v>
      </c>
      <c r="O189" s="120" t="str">
        <f>IF(P189="","","x ")</f>
        <v/>
      </c>
      <c r="P189" s="821"/>
      <c r="Q189" s="820" t="str">
        <f>IF(R189="","","x ")</f>
        <v xml:space="preserve">x </v>
      </c>
      <c r="R189" s="822">
        <f>IF(VLOOKUP($L188,데이터입력!$R$70:$U$102,4,FALSE)="",데이터입력!$U$85,VLOOKUP($L188,데이터입력!$R$70:$U$102,4,FALSE))</f>
        <v>12</v>
      </c>
      <c r="S189" s="820"/>
      <c r="T189" s="820" t="s">
        <v>405</v>
      </c>
      <c r="U189" s="820"/>
      <c r="V189" s="823">
        <f>IF(R189="",N189,N189*R189)</f>
        <v>16800000</v>
      </c>
      <c r="W189" s="825"/>
      <c r="X189" s="825"/>
      <c r="Y189" s="825"/>
      <c r="Z189" s="229"/>
      <c r="AA189" s="229"/>
      <c r="AB189" s="230"/>
    </row>
    <row r="190" spans="1:28" hidden="1">
      <c r="A190" s="117"/>
      <c r="B190" s="117"/>
      <c r="C190" s="117"/>
      <c r="D190" s="117"/>
      <c r="E190" s="117"/>
      <c r="F190" s="846"/>
      <c r="G190" s="847"/>
      <c r="H190" s="848"/>
      <c r="I190" s="848"/>
      <c r="J190" s="848"/>
      <c r="K190" s="850"/>
      <c r="L190" s="126" t="s">
        <v>440</v>
      </c>
      <c r="M190" s="210"/>
      <c r="N190" s="819">
        <v>0</v>
      </c>
      <c r="O190" s="120" t="str">
        <f>IF(P190="","","x ")</f>
        <v/>
      </c>
      <c r="P190" s="821"/>
      <c r="Q190" s="820" t="s">
        <v>404</v>
      </c>
      <c r="R190" s="822">
        <f>IF(VLOOKUP($L188,데이터입력!$R$70:$U$102,4,FALSE)="",데이터입력!$Y$8,VLOOKUP($L188,데이터입력!$R$70:$U$102,4,FALSE))</f>
        <v>12</v>
      </c>
      <c r="S190" s="820"/>
      <c r="T190" s="820" t="s">
        <v>405</v>
      </c>
      <c r="U190" s="820"/>
      <c r="V190" s="823">
        <f>IF(P190=0,N190*R190,N190*P190*R190)</f>
        <v>0</v>
      </c>
      <c r="W190" s="825"/>
      <c r="X190" s="825"/>
      <c r="Y190" s="825"/>
      <c r="Z190" s="229"/>
      <c r="AA190" s="229"/>
      <c r="AB190" s="230"/>
    </row>
    <row r="191" spans="1:28" hidden="1">
      <c r="A191" s="117"/>
      <c r="B191" s="117"/>
      <c r="C191" s="117"/>
      <c r="D191" s="117"/>
      <c r="E191" s="117"/>
      <c r="F191" s="851" t="s">
        <v>418</v>
      </c>
      <c r="G191" s="852" t="s">
        <v>381</v>
      </c>
      <c r="H191" s="853">
        <f>IFERROR(IF(VLOOKUP(K191,데이터입력!$C$42:$L$137,5,FALSE)&lt;1000,ROUNDUP(VLOOKUP(K191,데이터입력!$C$42:$L$137,5,FALSE)*1/1000,0),ROUND(VLOOKUP(K191,데이터입력!$C$42:$L$137,5,FALSE)*1/1000,0)),0)</f>
        <v>0</v>
      </c>
      <c r="I191" s="853">
        <f t="shared" ref="I191:I192" si="87">IFERROR(IF(F191="06",IF(V191&lt;1000,ROUNDUP((V191)*1/1000,0),ROUND((V191)*1/1000,0)),IF(F191="07",IF(W191&lt;1000,ROUNDUP((W191)*1/1000,0),ROUND((W191)*1/1000,0)),IF(F191="05",IF(X191&lt;1000,ROUNDUP((X191)*1/1000,0),ROUND((X191)*1/1000,0))))),0)</f>
        <v>0</v>
      </c>
      <c r="J191" s="854">
        <f>I191-H191</f>
        <v>0</v>
      </c>
      <c r="K191" s="231" t="str">
        <f>L191&amp;"("&amp;G191&amp;")"</f>
        <v>시설장비유지비(보조금)</v>
      </c>
      <c r="L191" s="239" t="str">
        <f>L188</f>
        <v>시설장비유지비</v>
      </c>
      <c r="M191" s="240"/>
      <c r="N191" s="855">
        <f>IF(R191="",AA188,ROUNDUP(AA188/R191,-3))</f>
        <v>0</v>
      </c>
      <c r="O191" s="1135" t="str">
        <f t="shared" ref="O191:O192" si="88">IF(P191="","","x ")</f>
        <v/>
      </c>
      <c r="P191" s="857"/>
      <c r="Q191" s="856" t="s">
        <v>404</v>
      </c>
      <c r="R191" s="858">
        <f>IF(VLOOKUP($L191,데이터입력!$R$103:$U$132,4,FALSE)="",데이터입력!$Y$8,VLOOKUP($L191,데이터입력!$R$103:$U$132,4,FALSE))</f>
        <v>12</v>
      </c>
      <c r="S191" s="856"/>
      <c r="T191" s="856" t="s">
        <v>405</v>
      </c>
      <c r="U191" s="856"/>
      <c r="V191" s="861"/>
      <c r="W191" s="861">
        <f>IF(P191=0,N191*R191,N191*P191*R191)</f>
        <v>0</v>
      </c>
      <c r="X191" s="860"/>
      <c r="Y191" s="860"/>
      <c r="Z191" s="230"/>
      <c r="AA191" s="230"/>
      <c r="AB191" s="230"/>
    </row>
    <row r="192" spans="1:28" hidden="1">
      <c r="A192" s="117"/>
      <c r="B192" s="117"/>
      <c r="C192" s="133"/>
      <c r="D192" s="133"/>
      <c r="E192" s="133"/>
      <c r="F192" s="862" t="s">
        <v>85</v>
      </c>
      <c r="G192" s="863" t="s">
        <v>19</v>
      </c>
      <c r="H192" s="864">
        <f>IFERROR(IF(VLOOKUP(K192,데이터입력!$C$42:$L$137,5,FALSE)&lt;1000,ROUNDUP(VLOOKUP(K192,데이터입력!$C$42:$L$137,5,FALSE)*1/1000,0),ROUND(VLOOKUP(K192,데이터입력!$C$42:$L$137,5,FALSE)*1/1000,0)),0)</f>
        <v>0</v>
      </c>
      <c r="I192" s="864">
        <f t="shared" si="87"/>
        <v>0</v>
      </c>
      <c r="J192" s="865">
        <f>I192-H192</f>
        <v>0</v>
      </c>
      <c r="K192" s="232" t="str">
        <f t="shared" ref="K192" si="89">L192&amp;"("&amp;G192&amp;")"</f>
        <v>시설장비유지비(후원금)</v>
      </c>
      <c r="L192" s="241" t="str">
        <f>L188</f>
        <v>시설장비유지비</v>
      </c>
      <c r="M192" s="242"/>
      <c r="N192" s="866">
        <f>IF(R192="",AB188,ROUNDUP(AB188/R192,-3))</f>
        <v>0</v>
      </c>
      <c r="O192" s="1134" t="str">
        <f t="shared" si="88"/>
        <v/>
      </c>
      <c r="P192" s="868"/>
      <c r="Q192" s="867" t="s">
        <v>404</v>
      </c>
      <c r="R192" s="869">
        <f>IF(VLOOKUP($L192,데이터입력!$R$133:$U$158,4,FALSE)="",데이터입력!$Y$8,VLOOKUP($L192,데이터입력!$R$133:$U$158,4,FALSE))</f>
        <v>12</v>
      </c>
      <c r="S192" s="867"/>
      <c r="T192" s="867" t="s">
        <v>405</v>
      </c>
      <c r="U192" s="867"/>
      <c r="V192" s="872"/>
      <c r="W192" s="872"/>
      <c r="X192" s="871">
        <f>IF(P192=0,N192*R192,N192*P192*R192)</f>
        <v>0</v>
      </c>
      <c r="Y192" s="871"/>
      <c r="Z192" s="230"/>
      <c r="AA192" s="230"/>
      <c r="AB192" s="230"/>
    </row>
    <row r="193" spans="1:28">
      <c r="A193" s="266" t="s">
        <v>312</v>
      </c>
      <c r="B193" s="289"/>
      <c r="C193" s="262"/>
      <c r="D193" s="262"/>
      <c r="E193" s="262"/>
      <c r="F193" s="808"/>
      <c r="G193" s="808"/>
      <c r="H193" s="250">
        <f>SUM(H194,H240)</f>
        <v>304054</v>
      </c>
      <c r="I193" s="250">
        <f>SUM(I194,I240)</f>
        <v>299418</v>
      </c>
      <c r="J193" s="250">
        <f>SUM(J194,J240)</f>
        <v>-4636</v>
      </c>
      <c r="K193" s="250"/>
      <c r="L193" s="263"/>
      <c r="M193" s="263"/>
      <c r="N193" s="263"/>
      <c r="O193" s="263"/>
      <c r="P193" s="263"/>
      <c r="Q193" s="263"/>
      <c r="R193" s="263"/>
      <c r="S193" s="263"/>
      <c r="T193" s="263"/>
      <c r="U193" s="263"/>
      <c r="V193" s="252">
        <f>SUM(V194,V240)</f>
        <v>240137662</v>
      </c>
      <c r="W193" s="252">
        <f>SUM(W194,W240)</f>
        <v>59280000</v>
      </c>
      <c r="X193" s="252">
        <f>SUM(X194,X240)</f>
        <v>0</v>
      </c>
      <c r="Y193" s="252">
        <f t="shared" ref="Y193:Y194" si="90">SUM(V193:X193)</f>
        <v>299417662</v>
      </c>
      <c r="Z193" s="155"/>
      <c r="AA193" s="155"/>
      <c r="AB193" s="100"/>
    </row>
    <row r="194" spans="1:28" s="254" customFormat="1">
      <c r="A194" s="253"/>
      <c r="B194" s="264" t="s">
        <v>304</v>
      </c>
      <c r="C194" s="288"/>
      <c r="D194" s="257"/>
      <c r="E194" s="257"/>
      <c r="F194" s="875"/>
      <c r="G194" s="875"/>
      <c r="H194" s="246">
        <f>SUM(H196:H239)</f>
        <v>290536</v>
      </c>
      <c r="I194" s="246">
        <f>SUM(I196:I239)</f>
        <v>285016</v>
      </c>
      <c r="J194" s="246">
        <f>SUM(J196:J239)</f>
        <v>-5520</v>
      </c>
      <c r="K194" s="246"/>
      <c r="L194" s="258"/>
      <c r="M194" s="258"/>
      <c r="N194" s="258"/>
      <c r="O194" s="258"/>
      <c r="P194" s="258"/>
      <c r="Q194" s="258"/>
      <c r="R194" s="258"/>
      <c r="S194" s="258"/>
      <c r="T194" s="258"/>
      <c r="U194" s="258"/>
      <c r="V194" s="247">
        <f>SUM(V195,V209,V222,V235)</f>
        <v>225735662</v>
      </c>
      <c r="W194" s="247">
        <f>SUM(W195,W209,W222,W235)</f>
        <v>59280000</v>
      </c>
      <c r="X194" s="247">
        <f>SUM(X195,X209,X222,X235)</f>
        <v>0</v>
      </c>
      <c r="Y194" s="247">
        <f t="shared" si="90"/>
        <v>285015662</v>
      </c>
      <c r="Z194" s="155"/>
      <c r="AA194" s="155"/>
      <c r="AB194" s="155"/>
    </row>
    <row r="195" spans="1:28">
      <c r="A195" s="117"/>
      <c r="B195" s="117"/>
      <c r="C195" s="105" t="s">
        <v>61</v>
      </c>
      <c r="D195" s="148"/>
      <c r="E195" s="148"/>
      <c r="F195" s="833"/>
      <c r="G195" s="834"/>
      <c r="H195" s="835">
        <f>SUM(H196:H207)</f>
        <v>222136</v>
      </c>
      <c r="I195" s="835">
        <f>SUM(I196:I207)</f>
        <v>225016</v>
      </c>
      <c r="J195" s="835">
        <f>SUM(J196:J207)</f>
        <v>2880</v>
      </c>
      <c r="K195" s="878" t="s">
        <v>549</v>
      </c>
      <c r="L195" s="238"/>
      <c r="M195" s="238"/>
      <c r="N195" s="836"/>
      <c r="O195" s="837"/>
      <c r="P195" s="836"/>
      <c r="Q195" s="837"/>
      <c r="R195" s="836"/>
      <c r="S195" s="837"/>
      <c r="T195" s="837"/>
      <c r="U195" s="837"/>
      <c r="V195" s="838">
        <f>SUM(V196,V199,V202,V204)</f>
        <v>165735662</v>
      </c>
      <c r="W195" s="838">
        <f t="shared" ref="W195:X195" si="91">SUM(W196,W199,W202,W204)</f>
        <v>59280000</v>
      </c>
      <c r="X195" s="838">
        <f t="shared" si="91"/>
        <v>0</v>
      </c>
      <c r="Y195" s="838">
        <f t="shared" ref="Y195" si="92">SUM(Y196,Y199,Y204)</f>
        <v>225015662</v>
      </c>
      <c r="Z195" s="155"/>
      <c r="AA195" s="155"/>
      <c r="AB195" s="100"/>
    </row>
    <row r="196" spans="1:28">
      <c r="A196" s="117"/>
      <c r="B196" s="117"/>
      <c r="C196" s="107"/>
      <c r="D196" s="107" t="s">
        <v>61</v>
      </c>
      <c r="E196" s="107">
        <v>503010101</v>
      </c>
      <c r="F196" s="839" t="s">
        <v>83</v>
      </c>
      <c r="G196" s="840" t="s">
        <v>6</v>
      </c>
      <c r="H196" s="877">
        <f>IFERROR(IF(VLOOKUP(K195,데이터입력!$C$42:$L$137,5,FALSE)&lt;1000,ROUNDUP(VLOOKUP(K195,데이터입력!$C$42:$L$137,5,FALSE)*1/1000,0),ROUND(VLOOKUP(K195,데이터입력!$C$42:$L$137,5,FALSE)*1/1000,0)),0)</f>
        <v>165736</v>
      </c>
      <c r="I196" s="841">
        <f>IFERROR(IF(F196="06",IF((V196+V199)&lt;1000,ROUNDUP((V196+V199)*1/1000,0),ROUND((V196+V199)*1/1000,0)),IF(F196="07",IF((W196+W199)&lt;1000,ROUNDUP((W196+W199)*1/1000,0),ROUND((W196+W199)*1/1000,0)),IF(F196="05",IF((X196+X199)&lt;1000,ROUNDUP((X196+X199)*1/1000,0),ROUND((X196+X199)*1/1000,0))))),0)</f>
        <v>165736</v>
      </c>
      <c r="J196" s="841">
        <f>I196-H196</f>
        <v>0</v>
      </c>
      <c r="K196" s="878"/>
      <c r="L196" s="111" t="str">
        <f>데이터입력!AD73</f>
        <v>생계비</v>
      </c>
      <c r="M196" s="112"/>
      <c r="N196" s="843"/>
      <c r="O196" s="844"/>
      <c r="P196" s="843"/>
      <c r="Q196" s="844"/>
      <c r="R196" s="843"/>
      <c r="S196" s="844"/>
      <c r="T196" s="844"/>
      <c r="U196" s="844"/>
      <c r="V196" s="845">
        <f>SUM(V197:V198)</f>
        <v>165735662</v>
      </c>
      <c r="W196" s="845">
        <f t="shared" ref="W196:X196" si="93">SUM(W197:W198)</f>
        <v>0</v>
      </c>
      <c r="X196" s="845">
        <f t="shared" si="93"/>
        <v>0</v>
      </c>
      <c r="Y196" s="845">
        <f>SUM(V196:X196)</f>
        <v>165735662</v>
      </c>
      <c r="Z196" s="228">
        <f>IFERROR(VLOOKUP($L196,데이터입력!$R$70:$U$102,3,FALSE),0)-Z199</f>
        <v>165735662</v>
      </c>
      <c r="AA196" s="228"/>
    </row>
    <row r="197" spans="1:28">
      <c r="A197" s="117"/>
      <c r="B197" s="117"/>
      <c r="C197" s="117"/>
      <c r="D197" s="117"/>
      <c r="E197" s="117"/>
      <c r="F197" s="846"/>
      <c r="G197" s="847"/>
      <c r="H197" s="879"/>
      <c r="I197" s="848"/>
      <c r="J197" s="848"/>
      <c r="K197" s="848"/>
      <c r="L197" s="126" t="str">
        <f>"  - "&amp;데이터입력!AD74</f>
        <v xml:space="preserve">  - 생계비(어르신)</v>
      </c>
      <c r="M197" s="210"/>
      <c r="N197" s="819">
        <f>IF(R197="",Z196,ROUNDUP((Z196-SUM(V198))/R197,0))</f>
        <v>13811306</v>
      </c>
      <c r="O197" s="120" t="str">
        <f>IF(P197="","","x ")</f>
        <v/>
      </c>
      <c r="P197" s="821"/>
      <c r="Q197" s="820" t="str">
        <f>IF(R197="","","x ")</f>
        <v xml:space="preserve">x </v>
      </c>
      <c r="R197" s="822">
        <f>데이터입력!AF74</f>
        <v>12</v>
      </c>
      <c r="S197" s="820"/>
      <c r="T197" s="820" t="s">
        <v>405</v>
      </c>
      <c r="U197" s="820"/>
      <c r="V197" s="823">
        <f>Z196</f>
        <v>165735662</v>
      </c>
      <c r="W197" s="825"/>
      <c r="X197" s="825"/>
      <c r="Y197" s="825"/>
      <c r="Z197" s="229"/>
      <c r="AA197" s="229"/>
      <c r="AB197" s="230"/>
    </row>
    <row r="198" spans="1:28">
      <c r="A198" s="117"/>
      <c r="B198" s="117"/>
      <c r="C198" s="117"/>
      <c r="D198" s="117"/>
      <c r="E198" s="117"/>
      <c r="F198" s="846"/>
      <c r="G198" s="847"/>
      <c r="H198" s="879"/>
      <c r="I198" s="848"/>
      <c r="J198" s="848"/>
      <c r="K198" s="848"/>
      <c r="L198" s="129" t="str">
        <f>"  - "&amp;데이터입력!AD75</f>
        <v xml:space="preserve">  - </v>
      </c>
      <c r="M198" s="136"/>
      <c r="N198" s="886">
        <f>데이터입력!AE75</f>
        <v>0</v>
      </c>
      <c r="O198" s="130" t="str">
        <f>IF(P198="","","x ")</f>
        <v/>
      </c>
      <c r="P198" s="888"/>
      <c r="Q198" s="887" t="s">
        <v>404</v>
      </c>
      <c r="R198" s="889">
        <f>데이터입력!AF75</f>
        <v>12</v>
      </c>
      <c r="S198" s="887"/>
      <c r="T198" s="887" t="s">
        <v>405</v>
      </c>
      <c r="U198" s="887"/>
      <c r="V198" s="890">
        <f>IF(P198=0,N198*R198,N198*P198*R198)</f>
        <v>0</v>
      </c>
      <c r="W198" s="825"/>
      <c r="X198" s="825"/>
      <c r="Y198" s="825"/>
      <c r="AA198" s="229"/>
      <c r="AB198" s="230"/>
    </row>
    <row r="199" spans="1:28">
      <c r="A199" s="117"/>
      <c r="B199" s="117"/>
      <c r="C199" s="117"/>
      <c r="D199" s="117"/>
      <c r="E199" s="117"/>
      <c r="F199" s="846"/>
      <c r="G199" s="847"/>
      <c r="H199" s="879"/>
      <c r="I199" s="848"/>
      <c r="J199" s="848"/>
      <c r="K199" s="880"/>
      <c r="L199" s="111" t="str">
        <f>데이터입력!AD76</f>
        <v>생계비(직원)</v>
      </c>
      <c r="M199" s="1233"/>
      <c r="N199" s="1234"/>
      <c r="O199" s="1235"/>
      <c r="P199" s="1236"/>
      <c r="Q199" s="1237"/>
      <c r="R199" s="1238"/>
      <c r="S199" s="1237"/>
      <c r="T199" s="1237"/>
      <c r="U199" s="1237"/>
      <c r="V199" s="845">
        <f>SUM(V200:V201)</f>
        <v>0</v>
      </c>
      <c r="W199" s="845">
        <f t="shared" ref="W199:X199" si="94">SUM(W200:W201)</f>
        <v>0</v>
      </c>
      <c r="X199" s="845">
        <f t="shared" si="94"/>
        <v>0</v>
      </c>
      <c r="Y199" s="845">
        <f>SUM(V199:X199)</f>
        <v>0</v>
      </c>
      <c r="Z199" s="228">
        <f>IFERROR((데이터입력!T55*데이터입력!U55*데이터입력!Y8),0)</f>
        <v>0</v>
      </c>
      <c r="AA199" s="154"/>
      <c r="AB199" s="150"/>
    </row>
    <row r="200" spans="1:28">
      <c r="A200" s="117"/>
      <c r="B200" s="117"/>
      <c r="C200" s="117"/>
      <c r="D200" s="117"/>
      <c r="E200" s="117"/>
      <c r="F200" s="846"/>
      <c r="G200" s="847"/>
      <c r="H200" s="879"/>
      <c r="I200" s="848"/>
      <c r="J200" s="848"/>
      <c r="K200" s="850"/>
      <c r="L200" s="126" t="str">
        <f>"  - "&amp;데이터입력!AD77</f>
        <v xml:space="preserve">  - 생계비(직원)</v>
      </c>
      <c r="M200" s="245"/>
      <c r="N200" s="819">
        <f>데이터입력!AE77</f>
        <v>0</v>
      </c>
      <c r="O200" s="120" t="str">
        <f>IF(P200="","","x ")</f>
        <v/>
      </c>
      <c r="P200" s="821"/>
      <c r="Q200" s="820" t="s">
        <v>404</v>
      </c>
      <c r="R200" s="822">
        <f>데이터입력!AF77</f>
        <v>12</v>
      </c>
      <c r="S200" s="820"/>
      <c r="T200" s="820" t="s">
        <v>405</v>
      </c>
      <c r="U200" s="820"/>
      <c r="V200" s="823">
        <f>IF(P200=0,N200*R200,N200*P200*R200)</f>
        <v>0</v>
      </c>
      <c r="W200" s="825"/>
      <c r="X200" s="825"/>
      <c r="Y200" s="825"/>
      <c r="AA200" s="155"/>
      <c r="AB200" s="100"/>
    </row>
    <row r="201" spans="1:28">
      <c r="A201" s="117"/>
      <c r="B201" s="117"/>
      <c r="C201" s="117"/>
      <c r="D201" s="133"/>
      <c r="E201" s="133"/>
      <c r="F201" s="881"/>
      <c r="G201" s="882"/>
      <c r="H201" s="883"/>
      <c r="I201" s="884"/>
      <c r="J201" s="884"/>
      <c r="K201" s="885"/>
      <c r="L201" s="129" t="str">
        <f>"  - "&amp;데이터입력!AD78</f>
        <v xml:space="preserve">  - </v>
      </c>
      <c r="M201" s="136"/>
      <c r="N201" s="886">
        <f>데이터입력!AE78</f>
        <v>0</v>
      </c>
      <c r="O201" s="130" t="str">
        <f>IF(P201="","","x ")</f>
        <v/>
      </c>
      <c r="P201" s="888"/>
      <c r="Q201" s="887" t="s">
        <v>404</v>
      </c>
      <c r="R201" s="889">
        <f>데이터입력!AF78</f>
        <v>12</v>
      </c>
      <c r="S201" s="887"/>
      <c r="T201" s="887" t="s">
        <v>405</v>
      </c>
      <c r="U201" s="887"/>
      <c r="V201" s="890">
        <f>IF(P201=0,N201*R201,N201*P201*R201)</f>
        <v>0</v>
      </c>
      <c r="W201" s="832"/>
      <c r="X201" s="832"/>
      <c r="Y201" s="832"/>
      <c r="Z201" s="155"/>
      <c r="AA201" s="155"/>
      <c r="AB201" s="100"/>
    </row>
    <row r="202" spans="1:28">
      <c r="A202" s="117"/>
      <c r="B202" s="117"/>
      <c r="C202" s="117"/>
      <c r="D202" s="117" t="s">
        <v>630</v>
      </c>
      <c r="E202" s="107">
        <v>503010101</v>
      </c>
      <c r="F202" s="839" t="s">
        <v>85</v>
      </c>
      <c r="G202" s="840" t="s">
        <v>19</v>
      </c>
      <c r="H202" s="877">
        <f>IFERROR(IF(VLOOKUP(K202,데이터입력!$C$42:$L$137,5,FALSE)&lt;1000,ROUNDUP(VLOOKUP(K202,데이터입력!$C$42:$L$137,5,FALSE)*1/1000,0),ROUND(VLOOKUP(K202,데이터입력!$C$42:$L$137,5,FALSE)*1/1000,0)),0)</f>
        <v>0</v>
      </c>
      <c r="I202" s="841">
        <f>IFERROR(IF(F202="06",IF(V203&lt;1000,ROUNDUP((V203)*1/1000,0),ROUND((V203)*1/1000,0)),IF(F202="07",IF(W203&lt;1000,ROUNDUP((W203)*1/1000,0),ROUND((W203)*1/1000,0)),IF(F202="05",IF(X203&lt;1000,ROUNDUP((X203)*1/1000,0),ROUND((X203)*1/1000,0))))),0)</f>
        <v>0</v>
      </c>
      <c r="J202" s="1245">
        <f>I202-H202</f>
        <v>0</v>
      </c>
      <c r="K202" s="232" t="str">
        <f t="shared" ref="K202" si="95">L202&amp;"("&amp;G202&amp;")"</f>
        <v>생계비(후원금)</v>
      </c>
      <c r="L202" s="111" t="str">
        <f>L196</f>
        <v>생계비</v>
      </c>
      <c r="M202" s="112"/>
      <c r="N202" s="843"/>
      <c r="O202" s="843"/>
      <c r="P202" s="843"/>
      <c r="Q202" s="843"/>
      <c r="R202" s="843"/>
      <c r="S202" s="843"/>
      <c r="T202" s="843"/>
      <c r="U202" s="843"/>
      <c r="V202" s="845"/>
      <c r="W202" s="845"/>
      <c r="X202" s="845">
        <f>SUM(X203)</f>
        <v>0</v>
      </c>
      <c r="Y202" s="845"/>
      <c r="AB202" s="228">
        <f>IFERROR(VLOOKUP($D202,데이터입력!$R$133:$U$158,3,FALSE),0)</f>
        <v>0</v>
      </c>
    </row>
    <row r="203" spans="1:28">
      <c r="A203" s="117"/>
      <c r="B203" s="117"/>
      <c r="C203" s="117"/>
      <c r="D203" s="117"/>
      <c r="E203" s="117"/>
      <c r="F203" s="881"/>
      <c r="G203" s="882"/>
      <c r="H203" s="883"/>
      <c r="I203" s="884"/>
      <c r="J203" s="884"/>
      <c r="K203" s="850"/>
      <c r="L203" s="129" t="str">
        <f>"  - "&amp;L202&amp;"(후원금)"</f>
        <v xml:space="preserve">  - 생계비(후원금)</v>
      </c>
      <c r="M203" s="1246"/>
      <c r="N203" s="886">
        <f>IF(R203="",AB202,ROUNDUP(AB202/R203,0))</f>
        <v>0</v>
      </c>
      <c r="O203" s="130" t="str">
        <f t="shared" ref="O203" si="96">IF(P203="","","x ")</f>
        <v/>
      </c>
      <c r="P203" s="888"/>
      <c r="Q203" s="887" t="s">
        <v>404</v>
      </c>
      <c r="R203" s="889">
        <f>데이터입력!$U$154</f>
        <v>1</v>
      </c>
      <c r="S203" s="887"/>
      <c r="T203" s="887" t="s">
        <v>405</v>
      </c>
      <c r="U203" s="887"/>
      <c r="V203" s="823"/>
      <c r="W203" s="825"/>
      <c r="X203" s="890">
        <f>IF(P203=0,N203*R203,N203*P203*R203)</f>
        <v>0</v>
      </c>
      <c r="Y203" s="825"/>
      <c r="Z203" s="230"/>
      <c r="AA203" s="230"/>
      <c r="AB203" s="230"/>
    </row>
    <row r="204" spans="1:28">
      <c r="A204" s="117"/>
      <c r="B204" s="117"/>
      <c r="C204" s="117"/>
      <c r="D204" s="107" t="s">
        <v>630</v>
      </c>
      <c r="E204" s="107">
        <v>503010101</v>
      </c>
      <c r="F204" s="839" t="s">
        <v>84</v>
      </c>
      <c r="G204" s="840" t="s">
        <v>81</v>
      </c>
      <c r="H204" s="877">
        <f>IFERROR(IF(VLOOKUP(K204,데이터입력!$C$42:$L$137,5,FALSE)&lt;1000,ROUNDUP(VLOOKUP(K204,데이터입력!$C$42:$L$137,5,FALSE)*1/1000,0),ROUND(VLOOKUP(K204,데이터입력!$C$42:$L$137,5,FALSE)*1/1000,0)),0)</f>
        <v>56400</v>
      </c>
      <c r="I204" s="841">
        <f>IFERROR(IF(F204="06",IF(V204&lt;1000,ROUNDUP((V204)*1/1000,0),ROUND((V204)*1/1000,0)),IF(F204="07",IF(W204&lt;1000,ROUNDUP((W204)*1/1000,0),ROUND((W204)*1/1000,0)),IF(F204="05",IF(X204&lt;1000,ROUNDUP((X204)*1/1000,0),ROUND((X204)*1/1000,0))))),0)</f>
        <v>59280</v>
      </c>
      <c r="J204" s="841">
        <f>I204-H204</f>
        <v>2880</v>
      </c>
      <c r="K204" s="842" t="str">
        <f>L204&amp;"("&amp;G204&amp;")"</f>
        <v>생계비(보조금)</v>
      </c>
      <c r="L204" s="111" t="str">
        <f>D204</f>
        <v>생계비</v>
      </c>
      <c r="M204" s="112"/>
      <c r="N204" s="843"/>
      <c r="O204" s="844"/>
      <c r="P204" s="843"/>
      <c r="Q204" s="844"/>
      <c r="R204" s="843"/>
      <c r="S204" s="844"/>
      <c r="T204" s="844"/>
      <c r="U204" s="844"/>
      <c r="V204" s="892"/>
      <c r="W204" s="845">
        <f>SUM(W205:W208)</f>
        <v>59280000</v>
      </c>
      <c r="X204" s="845">
        <f>SUM(X205:X207)</f>
        <v>0</v>
      </c>
      <c r="Y204" s="845">
        <f>SUM(V204:X204)</f>
        <v>59280000</v>
      </c>
      <c r="Z204" s="228"/>
      <c r="AA204" s="228">
        <f>IFERROR(VLOOKUP($L204,데이터입력!$R$103:$U$132,3,FALSE),0)</f>
        <v>59280000</v>
      </c>
      <c r="AB204" s="100"/>
    </row>
    <row r="205" spans="1:28">
      <c r="A205" s="117"/>
      <c r="B205" s="117"/>
      <c r="C205" s="117"/>
      <c r="D205" s="117"/>
      <c r="E205" s="117"/>
      <c r="F205" s="846"/>
      <c r="G205" s="847"/>
      <c r="H205" s="879"/>
      <c r="I205" s="848"/>
      <c r="J205" s="848"/>
      <c r="K205" s="850"/>
      <c r="L205" s="126" t="str">
        <f>"  - "&amp;L204&amp;"(시군구보조금)"</f>
        <v xml:space="preserve">  - 생계비(시군구보조금)</v>
      </c>
      <c r="M205" s="210"/>
      <c r="N205" s="819">
        <f>데이터입력!$T$4</f>
        <v>400000</v>
      </c>
      <c r="O205" s="120" t="str">
        <f>IF(P205="","","x ")</f>
        <v xml:space="preserve">x </v>
      </c>
      <c r="P205" s="821">
        <f>데이터입력!$Y$26</f>
        <v>12</v>
      </c>
      <c r="Q205" s="820" t="s">
        <v>404</v>
      </c>
      <c r="R205" s="822">
        <f>데이터입력!$Y$8</f>
        <v>12</v>
      </c>
      <c r="S205" s="820"/>
      <c r="T205" s="820" t="s">
        <v>405</v>
      </c>
      <c r="U205" s="820"/>
      <c r="V205" s="825"/>
      <c r="W205" s="823">
        <f>IF(P205="",N205*R205,N205*P205*R205)</f>
        <v>57600000</v>
      </c>
      <c r="X205" s="825"/>
      <c r="Y205" s="825"/>
      <c r="Z205" s="155"/>
      <c r="AA205" s="155"/>
      <c r="AB205" s="100"/>
    </row>
    <row r="206" spans="1:28">
      <c r="A206" s="117"/>
      <c r="B206" s="117"/>
      <c r="C206" s="117"/>
      <c r="D206" s="117"/>
      <c r="E206" s="117"/>
      <c r="F206" s="846"/>
      <c r="G206" s="847"/>
      <c r="H206" s="879"/>
      <c r="I206" s="848"/>
      <c r="J206" s="848"/>
      <c r="K206" s="850"/>
      <c r="L206" s="126" t="str">
        <f>"  - "&amp;데이터입력!R5&amp;" 지급"</f>
        <v xml:space="preserve">  - 월동대책비 지급</v>
      </c>
      <c r="M206" s="210"/>
      <c r="N206" s="819">
        <f>데이터입력!$T$5</f>
        <v>40000</v>
      </c>
      <c r="O206" s="120" t="str">
        <f>IF(P206="","","x ")</f>
        <v xml:space="preserve">x </v>
      </c>
      <c r="P206" s="821">
        <f>데이터입력!$Y$26</f>
        <v>12</v>
      </c>
      <c r="Q206" s="820" t="s">
        <v>404</v>
      </c>
      <c r="R206" s="893">
        <f>데이터입력!$V$5</f>
        <v>1</v>
      </c>
      <c r="S206" s="820"/>
      <c r="T206" s="820" t="s">
        <v>405</v>
      </c>
      <c r="U206" s="820"/>
      <c r="V206" s="825"/>
      <c r="W206" s="823">
        <f t="shared" ref="W206:W207" si="97">IF(P206="",N206*R206,N206*P206*R206)</f>
        <v>480000</v>
      </c>
      <c r="X206" s="825"/>
      <c r="Y206" s="825"/>
      <c r="Z206" s="155"/>
      <c r="AA206" s="155"/>
      <c r="AB206" s="100"/>
    </row>
    <row r="207" spans="1:28">
      <c r="A207" s="117"/>
      <c r="B207" s="117"/>
      <c r="C207" s="117"/>
      <c r="D207" s="117"/>
      <c r="E207" s="117"/>
      <c r="F207" s="846"/>
      <c r="G207" s="847"/>
      <c r="H207" s="879"/>
      <c r="I207" s="848"/>
      <c r="J207" s="848"/>
      <c r="K207" s="850"/>
      <c r="L207" s="126" t="str">
        <f>"  - "&amp;데이터입력!R6&amp;" 지급"</f>
        <v xml:space="preserve">  - 특별위로금 지급</v>
      </c>
      <c r="M207" s="210"/>
      <c r="N207" s="819">
        <f>데이터입력!$T$6</f>
        <v>50000</v>
      </c>
      <c r="O207" s="120" t="str">
        <f>IF(P207="","","x ")</f>
        <v xml:space="preserve">x </v>
      </c>
      <c r="P207" s="821">
        <f>데이터입력!$Y$26</f>
        <v>12</v>
      </c>
      <c r="Q207" s="820" t="s">
        <v>404</v>
      </c>
      <c r="R207" s="893">
        <f>데이터입력!$V$6</f>
        <v>2</v>
      </c>
      <c r="S207" s="820"/>
      <c r="T207" s="820" t="s">
        <v>405</v>
      </c>
      <c r="U207" s="820"/>
      <c r="V207" s="825"/>
      <c r="W207" s="823">
        <f t="shared" si="97"/>
        <v>1200000</v>
      </c>
      <c r="X207" s="825"/>
      <c r="Y207" s="825"/>
      <c r="Z207" s="155"/>
      <c r="AA207" s="155"/>
      <c r="AB207" s="100"/>
    </row>
    <row r="208" spans="1:28">
      <c r="A208" s="117"/>
      <c r="B208" s="117"/>
      <c r="C208" s="117"/>
      <c r="D208" s="117"/>
      <c r="E208" s="117"/>
      <c r="F208" s="846"/>
      <c r="G208" s="847"/>
      <c r="H208" s="879"/>
      <c r="I208" s="848"/>
      <c r="J208" s="848"/>
      <c r="K208" s="850"/>
      <c r="L208" s="126" t="str">
        <f>"  - "&amp;데이터입력!$AA$21</f>
        <v xml:space="preserve">  - 생계비(시군구보조금외)</v>
      </c>
      <c r="M208" s="210"/>
      <c r="N208" s="819"/>
      <c r="O208" s="820"/>
      <c r="P208" s="821"/>
      <c r="Q208" s="820"/>
      <c r="R208" s="893"/>
      <c r="S208" s="820"/>
      <c r="T208" s="820" t="s">
        <v>764</v>
      </c>
      <c r="U208" s="820"/>
      <c r="V208" s="825"/>
      <c r="W208" s="823">
        <f>데이터입력!$AB$21</f>
        <v>0</v>
      </c>
      <c r="X208" s="825"/>
      <c r="Y208" s="825"/>
      <c r="Z208" s="155"/>
      <c r="AA208" s="155"/>
      <c r="AB208" s="100"/>
    </row>
    <row r="209" spans="1:28">
      <c r="A209" s="117"/>
      <c r="B209" s="117"/>
      <c r="C209" s="107" t="s">
        <v>62</v>
      </c>
      <c r="D209" s="107" t="s">
        <v>62</v>
      </c>
      <c r="E209" s="107">
        <v>503010201</v>
      </c>
      <c r="F209" s="839" t="s">
        <v>83</v>
      </c>
      <c r="G209" s="840" t="s">
        <v>6</v>
      </c>
      <c r="H209" s="877">
        <f>IFERROR(IF(VLOOKUP(K209,데이터입력!$C$42:$L$137,5,FALSE)&lt;1000,ROUNDUP(VLOOKUP(K209,데이터입력!$C$42:$L$137,5,FALSE)*1/1000,0),ROUND(VLOOKUP(K209,데이터입력!$C$42:$L$137,5,FALSE)*1/1000,0)),0)</f>
        <v>24000</v>
      </c>
      <c r="I209" s="841">
        <f>IFERROR(IF(F209="06",IF(V209&lt;1000,ROUNDUP((V209)*1/1000,0),ROUND((V209)*1/1000,0)),IF(F209="07",IF(W209&lt;1000,ROUNDUP((W209)*1/1000,0),ROUND((W209)*1/1000,0)),IF(F209="05",IF(X209&lt;1000,ROUNDUP((X209)*1/1000,0),ROUND((X209)*1/1000,0))))),0)</f>
        <v>24000</v>
      </c>
      <c r="J209" s="841">
        <f>I209-H209</f>
        <v>0</v>
      </c>
      <c r="K209" s="842" t="str">
        <f>L209&amp;"("&amp;G209&amp;")"</f>
        <v>수용기관경비(수익사업)</v>
      </c>
      <c r="L209" s="111" t="str">
        <f>D209</f>
        <v>수용기관경비</v>
      </c>
      <c r="M209" s="112"/>
      <c r="N209" s="843"/>
      <c r="O209" s="844"/>
      <c r="P209" s="843"/>
      <c r="Q209" s="844"/>
      <c r="R209" s="843"/>
      <c r="S209" s="844"/>
      <c r="T209" s="844"/>
      <c r="U209" s="844"/>
      <c r="V209" s="845">
        <f>SUM(V210:V221)</f>
        <v>24000000</v>
      </c>
      <c r="W209" s="845">
        <f>SUM(W210:W221)</f>
        <v>0</v>
      </c>
      <c r="X209" s="845">
        <f>SUM(X210:X221)</f>
        <v>0</v>
      </c>
      <c r="Y209" s="845">
        <f>SUM(V209:X209)</f>
        <v>24000000</v>
      </c>
      <c r="Z209" s="228">
        <f>IFERROR(VLOOKUP($L209,데이터입력!$R$70:$U$102,3,FALSE),0)</f>
        <v>24000000</v>
      </c>
      <c r="AA209" s="228">
        <f>IFERROR(VLOOKUP($L220,데이터입력!$R$103:$U$132,3,FALSE),0)</f>
        <v>0</v>
      </c>
      <c r="AB209" s="228">
        <f>IFERROR(VLOOKUP($L221,데이터입력!$R$133:$U$158,3,FALSE),0)</f>
        <v>0</v>
      </c>
    </row>
    <row r="210" spans="1:28">
      <c r="A210" s="117"/>
      <c r="B210" s="117"/>
      <c r="C210" s="117"/>
      <c r="D210" s="117"/>
      <c r="E210" s="117"/>
      <c r="F210" s="846"/>
      <c r="G210" s="847"/>
      <c r="H210" s="879"/>
      <c r="I210" s="848"/>
      <c r="J210" s="848"/>
      <c r="K210" s="850"/>
      <c r="L210" s="126" t="str">
        <f>"  - "&amp;데이터입력!AD51</f>
        <v xml:space="preserve">  - 기저귀 등</v>
      </c>
      <c r="M210" s="210"/>
      <c r="N210" s="819">
        <f>데이터입력!AE51</f>
        <v>1200000</v>
      </c>
      <c r="O210" s="120" t="str">
        <f t="shared" ref="O210:O219" si="98">IF(P210="","","x ")</f>
        <v/>
      </c>
      <c r="P210" s="821"/>
      <c r="Q210" s="820" t="s">
        <v>404</v>
      </c>
      <c r="R210" s="822">
        <f>데이터입력!AF51</f>
        <v>12</v>
      </c>
      <c r="S210" s="820"/>
      <c r="T210" s="820" t="s">
        <v>405</v>
      </c>
      <c r="U210" s="820"/>
      <c r="V210" s="823">
        <f t="shared" ref="V210:V219" si="99">IF(P210="",N210*R210,N210*P210*R210)</f>
        <v>14400000</v>
      </c>
      <c r="W210" s="825"/>
      <c r="X210" s="825"/>
      <c r="Y210" s="825"/>
      <c r="Z210" s="155"/>
      <c r="AA210" s="155"/>
      <c r="AB210" s="100"/>
    </row>
    <row r="211" spans="1:28">
      <c r="A211" s="117"/>
      <c r="B211" s="117"/>
      <c r="C211" s="117"/>
      <c r="D211" s="117"/>
      <c r="E211" s="117"/>
      <c r="F211" s="846"/>
      <c r="G211" s="847"/>
      <c r="H211" s="879"/>
      <c r="I211" s="848"/>
      <c r="J211" s="848"/>
      <c r="K211" s="850"/>
      <c r="L211" s="126" t="str">
        <f>"  - "&amp;데이터입력!AD52</f>
        <v xml:space="preserve">  - 욕실용품 등</v>
      </c>
      <c r="M211" s="210"/>
      <c r="N211" s="819">
        <f>데이터입력!AE52</f>
        <v>400000</v>
      </c>
      <c r="O211" s="120" t="str">
        <f t="shared" si="98"/>
        <v/>
      </c>
      <c r="P211" s="821"/>
      <c r="Q211" s="820" t="s">
        <v>404</v>
      </c>
      <c r="R211" s="822">
        <f>데이터입력!AF52</f>
        <v>12</v>
      </c>
      <c r="S211" s="820"/>
      <c r="T211" s="820" t="s">
        <v>405</v>
      </c>
      <c r="U211" s="820"/>
      <c r="V211" s="823">
        <f t="shared" si="99"/>
        <v>4800000</v>
      </c>
      <c r="W211" s="825"/>
      <c r="X211" s="825"/>
      <c r="Y211" s="825"/>
      <c r="Z211" s="155"/>
      <c r="AA211" s="155"/>
      <c r="AB211" s="100"/>
    </row>
    <row r="212" spans="1:28">
      <c r="A212" s="117"/>
      <c r="B212" s="117"/>
      <c r="C212" s="117"/>
      <c r="D212" s="117"/>
      <c r="E212" s="117"/>
      <c r="F212" s="846"/>
      <c r="G212" s="847"/>
      <c r="H212" s="879"/>
      <c r="I212" s="848"/>
      <c r="J212" s="848"/>
      <c r="K212" s="850"/>
      <c r="L212" s="126" t="str">
        <f>"  - "&amp;데이터입력!AD53</f>
        <v xml:space="preserve">  - 기타(이불,피복비 등)</v>
      </c>
      <c r="M212" s="210"/>
      <c r="N212" s="819">
        <f>데이터입력!AE53</f>
        <v>400000</v>
      </c>
      <c r="O212" s="120" t="str">
        <f t="shared" si="98"/>
        <v/>
      </c>
      <c r="P212" s="821"/>
      <c r="Q212" s="820" t="s">
        <v>404</v>
      </c>
      <c r="R212" s="822">
        <f>데이터입력!AF53</f>
        <v>12</v>
      </c>
      <c r="S212" s="820"/>
      <c r="T212" s="820" t="s">
        <v>405</v>
      </c>
      <c r="U212" s="820"/>
      <c r="V212" s="823">
        <f t="shared" si="99"/>
        <v>4800000</v>
      </c>
      <c r="W212" s="825"/>
      <c r="X212" s="825"/>
      <c r="Y212" s="825"/>
      <c r="Z212" s="155"/>
      <c r="AA212" s="155"/>
      <c r="AB212" s="100"/>
    </row>
    <row r="213" spans="1:28">
      <c r="A213" s="117"/>
      <c r="B213" s="117"/>
      <c r="C213" s="117"/>
      <c r="D213" s="117"/>
      <c r="E213" s="117"/>
      <c r="F213" s="846"/>
      <c r="G213" s="847"/>
      <c r="H213" s="879"/>
      <c r="I213" s="848"/>
      <c r="J213" s="848"/>
      <c r="K213" s="850"/>
      <c r="L213" s="126" t="str">
        <f>"  - "&amp;데이터입력!AD54</f>
        <v xml:space="preserve">  - </v>
      </c>
      <c r="M213" s="210"/>
      <c r="N213" s="819">
        <f>데이터입력!AE54</f>
        <v>0</v>
      </c>
      <c r="O213" s="120" t="str">
        <f t="shared" si="98"/>
        <v/>
      </c>
      <c r="P213" s="821"/>
      <c r="Q213" s="820" t="s">
        <v>404</v>
      </c>
      <c r="R213" s="822">
        <f>데이터입력!AF54</f>
        <v>12</v>
      </c>
      <c r="S213" s="820"/>
      <c r="T213" s="820" t="s">
        <v>405</v>
      </c>
      <c r="U213" s="820"/>
      <c r="V213" s="823">
        <f t="shared" si="99"/>
        <v>0</v>
      </c>
      <c r="W213" s="825"/>
      <c r="X213" s="825"/>
      <c r="Y213" s="825"/>
      <c r="Z213" s="155"/>
      <c r="AA213" s="155"/>
      <c r="AB213" s="100"/>
    </row>
    <row r="214" spans="1:28" hidden="1">
      <c r="A214" s="117"/>
      <c r="B214" s="117"/>
      <c r="C214" s="117"/>
      <c r="D214" s="117"/>
      <c r="E214" s="117"/>
      <c r="F214" s="846"/>
      <c r="G214" s="847"/>
      <c r="H214" s="879"/>
      <c r="I214" s="848"/>
      <c r="J214" s="848"/>
      <c r="K214" s="850"/>
      <c r="L214" s="126" t="str">
        <f>"  - "&amp;데이터입력!AD55</f>
        <v xml:space="preserve">  - </v>
      </c>
      <c r="M214" s="210"/>
      <c r="N214" s="819">
        <f>데이터입력!AE55</f>
        <v>0</v>
      </c>
      <c r="O214" s="120" t="str">
        <f t="shared" si="98"/>
        <v/>
      </c>
      <c r="P214" s="821"/>
      <c r="Q214" s="820" t="s">
        <v>404</v>
      </c>
      <c r="R214" s="822">
        <f>데이터입력!AF55</f>
        <v>12</v>
      </c>
      <c r="S214" s="820"/>
      <c r="T214" s="820" t="s">
        <v>405</v>
      </c>
      <c r="U214" s="820"/>
      <c r="V214" s="823">
        <f t="shared" si="99"/>
        <v>0</v>
      </c>
      <c r="W214" s="825"/>
      <c r="X214" s="825"/>
      <c r="Y214" s="825"/>
      <c r="Z214" s="155"/>
      <c r="AA214" s="155"/>
      <c r="AB214" s="100"/>
    </row>
    <row r="215" spans="1:28" hidden="1">
      <c r="A215" s="117"/>
      <c r="B215" s="117"/>
      <c r="C215" s="117"/>
      <c r="D215" s="117"/>
      <c r="E215" s="117"/>
      <c r="F215" s="846"/>
      <c r="G215" s="847"/>
      <c r="H215" s="879"/>
      <c r="I215" s="848"/>
      <c r="J215" s="848"/>
      <c r="K215" s="850"/>
      <c r="L215" s="126" t="str">
        <f>"  - "&amp;데이터입력!AD56</f>
        <v xml:space="preserve">  - </v>
      </c>
      <c r="M215" s="210"/>
      <c r="N215" s="819">
        <f>데이터입력!AE56</f>
        <v>0</v>
      </c>
      <c r="O215" s="120" t="str">
        <f t="shared" si="98"/>
        <v/>
      </c>
      <c r="P215" s="821"/>
      <c r="Q215" s="820" t="s">
        <v>404</v>
      </c>
      <c r="R215" s="822">
        <f>데이터입력!AF56</f>
        <v>12</v>
      </c>
      <c r="S215" s="820"/>
      <c r="T215" s="820" t="s">
        <v>405</v>
      </c>
      <c r="U215" s="820"/>
      <c r="V215" s="823">
        <f t="shared" si="99"/>
        <v>0</v>
      </c>
      <c r="W215" s="825"/>
      <c r="X215" s="825"/>
      <c r="Y215" s="825"/>
      <c r="Z215" s="155"/>
      <c r="AA215" s="155"/>
      <c r="AB215" s="100"/>
    </row>
    <row r="216" spans="1:28" hidden="1">
      <c r="A216" s="117"/>
      <c r="B216" s="117"/>
      <c r="C216" s="117"/>
      <c r="D216" s="117"/>
      <c r="E216" s="117"/>
      <c r="F216" s="846"/>
      <c r="G216" s="847"/>
      <c r="H216" s="879"/>
      <c r="I216" s="848"/>
      <c r="J216" s="848"/>
      <c r="K216" s="850"/>
      <c r="L216" s="126" t="str">
        <f>"  - "&amp;데이터입력!AD57</f>
        <v xml:space="preserve">  - </v>
      </c>
      <c r="M216" s="210"/>
      <c r="N216" s="819">
        <f>데이터입력!AE57</f>
        <v>0</v>
      </c>
      <c r="O216" s="120" t="str">
        <f t="shared" si="98"/>
        <v/>
      </c>
      <c r="P216" s="821"/>
      <c r="Q216" s="820" t="s">
        <v>404</v>
      </c>
      <c r="R216" s="822">
        <f>데이터입력!AF57</f>
        <v>12</v>
      </c>
      <c r="S216" s="820"/>
      <c r="T216" s="820" t="s">
        <v>405</v>
      </c>
      <c r="U216" s="820"/>
      <c r="V216" s="823">
        <f t="shared" si="99"/>
        <v>0</v>
      </c>
      <c r="W216" s="825"/>
      <c r="X216" s="825"/>
      <c r="Y216" s="825"/>
      <c r="Z216" s="155"/>
      <c r="AA216" s="155"/>
      <c r="AB216" s="100"/>
    </row>
    <row r="217" spans="1:28" hidden="1">
      <c r="A217" s="117"/>
      <c r="B217" s="117"/>
      <c r="C217" s="117"/>
      <c r="D217" s="117"/>
      <c r="E217" s="117"/>
      <c r="F217" s="846"/>
      <c r="G217" s="847"/>
      <c r="H217" s="879"/>
      <c r="I217" s="848"/>
      <c r="J217" s="848"/>
      <c r="K217" s="850"/>
      <c r="L217" s="126" t="str">
        <f>"  - "&amp;데이터입력!AD58</f>
        <v xml:space="preserve">  - </v>
      </c>
      <c r="M217" s="210"/>
      <c r="N217" s="819">
        <f>데이터입력!AE58</f>
        <v>0</v>
      </c>
      <c r="O217" s="120" t="str">
        <f t="shared" si="98"/>
        <v/>
      </c>
      <c r="P217" s="821"/>
      <c r="Q217" s="820" t="s">
        <v>404</v>
      </c>
      <c r="R217" s="822">
        <f>데이터입력!AF58</f>
        <v>12</v>
      </c>
      <c r="S217" s="820"/>
      <c r="T217" s="820" t="s">
        <v>405</v>
      </c>
      <c r="U217" s="820"/>
      <c r="V217" s="823">
        <f t="shared" si="99"/>
        <v>0</v>
      </c>
      <c r="W217" s="825"/>
      <c r="X217" s="825"/>
      <c r="Y217" s="825"/>
      <c r="Z217" s="155"/>
      <c r="AA217" s="155"/>
      <c r="AB217" s="100"/>
    </row>
    <row r="218" spans="1:28" hidden="1">
      <c r="A218" s="117"/>
      <c r="B218" s="117"/>
      <c r="C218" s="117"/>
      <c r="D218" s="117"/>
      <c r="E218" s="117"/>
      <c r="F218" s="846"/>
      <c r="G218" s="847"/>
      <c r="H218" s="879"/>
      <c r="I218" s="848"/>
      <c r="J218" s="848"/>
      <c r="K218" s="850"/>
      <c r="L218" s="126" t="str">
        <f>"  - "&amp;데이터입력!AD59</f>
        <v xml:space="preserve">  - </v>
      </c>
      <c r="M218" s="210"/>
      <c r="N218" s="819">
        <f>데이터입력!AE59</f>
        <v>0</v>
      </c>
      <c r="O218" s="120" t="str">
        <f t="shared" si="98"/>
        <v/>
      </c>
      <c r="P218" s="821"/>
      <c r="Q218" s="820" t="s">
        <v>404</v>
      </c>
      <c r="R218" s="822">
        <f>데이터입력!AF59</f>
        <v>12</v>
      </c>
      <c r="S218" s="820"/>
      <c r="T218" s="820" t="s">
        <v>405</v>
      </c>
      <c r="U218" s="820"/>
      <c r="V218" s="823">
        <f t="shared" si="99"/>
        <v>0</v>
      </c>
      <c r="W218" s="825"/>
      <c r="X218" s="825"/>
      <c r="Y218" s="825"/>
      <c r="Z218" s="155"/>
      <c r="AA218" s="155"/>
      <c r="AB218" s="100"/>
    </row>
    <row r="219" spans="1:28" hidden="1">
      <c r="A219" s="117"/>
      <c r="B219" s="117"/>
      <c r="C219" s="117"/>
      <c r="D219" s="117"/>
      <c r="E219" s="117"/>
      <c r="F219" s="846"/>
      <c r="G219" s="847"/>
      <c r="H219" s="879"/>
      <c r="I219" s="848"/>
      <c r="J219" s="848"/>
      <c r="K219" s="850"/>
      <c r="L219" s="126" t="str">
        <f>"  - "&amp;데이터입력!AD60</f>
        <v xml:space="preserve">  - </v>
      </c>
      <c r="M219" s="210"/>
      <c r="N219" s="819">
        <f>데이터입력!AE60</f>
        <v>0</v>
      </c>
      <c r="O219" s="120" t="str">
        <f t="shared" si="98"/>
        <v/>
      </c>
      <c r="P219" s="821"/>
      <c r="Q219" s="820" t="s">
        <v>404</v>
      </c>
      <c r="R219" s="822">
        <f>데이터입력!AF60</f>
        <v>12</v>
      </c>
      <c r="S219" s="820"/>
      <c r="T219" s="820" t="s">
        <v>405</v>
      </c>
      <c r="U219" s="820"/>
      <c r="V219" s="823">
        <f t="shared" si="99"/>
        <v>0</v>
      </c>
      <c r="W219" s="825"/>
      <c r="X219" s="825"/>
      <c r="Y219" s="825"/>
      <c r="Z219" s="155"/>
      <c r="AA219" s="155"/>
      <c r="AB219" s="100"/>
    </row>
    <row r="220" spans="1:28">
      <c r="A220" s="117"/>
      <c r="B220" s="117"/>
      <c r="C220" s="117"/>
      <c r="D220" s="117"/>
      <c r="E220" s="117"/>
      <c r="F220" s="851" t="s">
        <v>418</v>
      </c>
      <c r="G220" s="852" t="s">
        <v>381</v>
      </c>
      <c r="H220" s="894">
        <f>IFERROR(IF(VLOOKUP(K220,데이터입력!$C$42:$L$137,5,FALSE)&lt;1000,ROUNDUP(VLOOKUP(K220,데이터입력!$C$42:$L$137,5,FALSE)*1/1000,0),ROUND(VLOOKUP(K220,데이터입력!$C$42:$L$137,5,FALSE)*1/1000,0)),0)</f>
        <v>0</v>
      </c>
      <c r="I220" s="853">
        <f t="shared" ref="I220:I221" si="100">IFERROR(IF(F220="06",IF(V220&lt;1000,ROUNDUP((V220)*1/1000,0),ROUND((V220)*1/1000,0)),IF(F220="07",IF(W220&lt;1000,ROUNDUP((W220)*1/1000,0),ROUND((W220)*1/1000,0)),IF(F220="05",IF(X220&lt;1000,ROUNDUP((X220)*1/1000,0),ROUND((X220)*1/1000,0))))),0)</f>
        <v>0</v>
      </c>
      <c r="J220" s="854">
        <f>I220-H220</f>
        <v>0</v>
      </c>
      <c r="K220" s="231" t="str">
        <f>L220&amp;"("&amp;G220&amp;")"</f>
        <v>수용기관경비(보조금)</v>
      </c>
      <c r="L220" s="239" t="str">
        <f>L209</f>
        <v>수용기관경비</v>
      </c>
      <c r="M220" s="240"/>
      <c r="N220" s="855">
        <f>IF(R220="",AA209,ROUNDDOWN(AA209/R220,-3))</f>
        <v>0</v>
      </c>
      <c r="O220" s="1135" t="str">
        <f t="shared" ref="O220:O221" si="101">IF(P220="","","x ")</f>
        <v/>
      </c>
      <c r="P220" s="857"/>
      <c r="Q220" s="856" t="s">
        <v>404</v>
      </c>
      <c r="R220" s="858">
        <f>IF(VLOOKUP($L220,데이터입력!$R$103:$U$132,4,FALSE)="",데이터입력!$Y$8,VLOOKUP($L220,데이터입력!$R$103:$U$132,4,FALSE))</f>
        <v>12</v>
      </c>
      <c r="S220" s="856"/>
      <c r="T220" s="856" t="s">
        <v>405</v>
      </c>
      <c r="U220" s="856"/>
      <c r="V220" s="861"/>
      <c r="W220" s="861">
        <f>IF(P220="",N220*R220,N220*P220*R220)</f>
        <v>0</v>
      </c>
      <c r="X220" s="860"/>
      <c r="Y220" s="860"/>
      <c r="Z220" s="100"/>
      <c r="AA220" s="100"/>
      <c r="AB220" s="100"/>
    </row>
    <row r="221" spans="1:28">
      <c r="A221" s="117"/>
      <c r="B221" s="117"/>
      <c r="C221" s="117"/>
      <c r="D221" s="117"/>
      <c r="E221" s="117"/>
      <c r="F221" s="862" t="s">
        <v>85</v>
      </c>
      <c r="G221" s="863" t="s">
        <v>19</v>
      </c>
      <c r="H221" s="891">
        <f>IFERROR(IF(VLOOKUP(K221,데이터입력!$C$42:$L$137,5,FALSE)&lt;1000,ROUNDUP(VLOOKUP(K221,데이터입력!$C$42:$L$137,5,FALSE)*1/1000,0),ROUND(VLOOKUP(K221,데이터입력!$C$42:$L$137,5,FALSE)*1/1000,0)),0)</f>
        <v>0</v>
      </c>
      <c r="I221" s="864">
        <f t="shared" si="100"/>
        <v>0</v>
      </c>
      <c r="J221" s="865">
        <f>I221-H221</f>
        <v>0</v>
      </c>
      <c r="K221" s="232" t="str">
        <f t="shared" ref="K221" si="102">L221&amp;"("&amp;G221&amp;")"</f>
        <v>수용기관경비(후원금)</v>
      </c>
      <c r="L221" s="241" t="str">
        <f>L209</f>
        <v>수용기관경비</v>
      </c>
      <c r="M221" s="242"/>
      <c r="N221" s="866">
        <f>IF(R221="",AB209,ROUNDUP(AB209/R221,0))</f>
        <v>0</v>
      </c>
      <c r="O221" s="1134" t="str">
        <f t="shared" si="101"/>
        <v/>
      </c>
      <c r="P221" s="868"/>
      <c r="Q221" s="867" t="s">
        <v>404</v>
      </c>
      <c r="R221" s="869">
        <f>IF(VLOOKUP($L221,데이터입력!$R$133:$U$158,4,FALSE)="",데이터입력!$Y$8,VLOOKUP($L221,데이터입력!$R$133:$U$158,4,FALSE))</f>
        <v>1</v>
      </c>
      <c r="S221" s="867"/>
      <c r="T221" s="867" t="s">
        <v>405</v>
      </c>
      <c r="U221" s="867"/>
      <c r="V221" s="872"/>
      <c r="W221" s="872"/>
      <c r="X221" s="871">
        <f>IF(P221=0,N221*R221,N221*P221*R221)</f>
        <v>0</v>
      </c>
      <c r="Y221" s="871"/>
      <c r="Z221" s="100"/>
      <c r="AA221" s="100"/>
      <c r="AB221" s="100"/>
    </row>
    <row r="222" spans="1:28">
      <c r="A222" s="117"/>
      <c r="B222" s="117"/>
      <c r="C222" s="107" t="s">
        <v>63</v>
      </c>
      <c r="D222" s="107" t="s">
        <v>63</v>
      </c>
      <c r="E222" s="107">
        <v>503010401</v>
      </c>
      <c r="F222" s="839" t="s">
        <v>83</v>
      </c>
      <c r="G222" s="840" t="s">
        <v>6</v>
      </c>
      <c r="H222" s="877">
        <f>IFERROR(IF(VLOOKUP(K222,데이터입력!$C$42:$L$137,5,FALSE)&lt;1000,ROUNDUP(VLOOKUP(K222,데이터입력!$C$42:$L$137,5,FALSE)*1/1000,0),ROUND(VLOOKUP(K222,데이터입력!$C$42:$L$137,5,FALSE)*1/1000,0)),0)</f>
        <v>44400</v>
      </c>
      <c r="I222" s="841">
        <f>IFERROR(IF(F222="06",IF(V222&lt;1000,ROUNDUP((V222)*1/1000,0),ROUND((V222)*1/1000,0)),IF(F222="07",IF(W222&lt;1000,ROUNDUP((W222)*1/1000,0),ROUND((W222)*1/1000,0)),IF(F222="05",IF(X222&lt;1000,ROUNDUP((X222)*1/1000,0),ROUND((X222)*1/1000,0))))),0)</f>
        <v>36000</v>
      </c>
      <c r="J222" s="841">
        <f>I222-H222</f>
        <v>-8400</v>
      </c>
      <c r="K222" s="842" t="str">
        <f>L222&amp;"("&amp;G222&amp;")"</f>
        <v>의료비(수익사업)</v>
      </c>
      <c r="L222" s="111" t="str">
        <f>D222</f>
        <v>의료비</v>
      </c>
      <c r="M222" s="112"/>
      <c r="N222" s="843"/>
      <c r="O222" s="844"/>
      <c r="P222" s="843"/>
      <c r="Q222" s="844"/>
      <c r="R222" s="843"/>
      <c r="S222" s="844"/>
      <c r="T222" s="844"/>
      <c r="U222" s="844"/>
      <c r="V222" s="845">
        <f>SUM(V223:V234)</f>
        <v>36000000</v>
      </c>
      <c r="W222" s="845">
        <f>SUM(W223:W234)</f>
        <v>0</v>
      </c>
      <c r="X222" s="845">
        <f>SUM(X223:X234)</f>
        <v>0</v>
      </c>
      <c r="Y222" s="845">
        <f>SUM(V222:X222)</f>
        <v>36000000</v>
      </c>
      <c r="Z222" s="228">
        <f>IFERROR(VLOOKUP($L222,데이터입력!$R$70:$U$102,3,FALSE),0)</f>
        <v>36000000</v>
      </c>
      <c r="AA222" s="228">
        <f>IFERROR(VLOOKUP($L233,데이터입력!$R$103:$U$132,3,FALSE),0)</f>
        <v>0</v>
      </c>
      <c r="AB222" s="228">
        <f>IFERROR(VLOOKUP($L234,데이터입력!$R$133:$U$158,3,FALSE),0)</f>
        <v>0</v>
      </c>
    </row>
    <row r="223" spans="1:28">
      <c r="A223" s="117"/>
      <c r="B223" s="117"/>
      <c r="C223" s="117"/>
      <c r="D223" s="117"/>
      <c r="E223" s="117"/>
      <c r="F223" s="846"/>
      <c r="G223" s="847"/>
      <c r="H223" s="879"/>
      <c r="I223" s="848"/>
      <c r="J223" s="848"/>
      <c r="K223" s="850"/>
      <c r="L223" s="126" t="str">
        <f>"  - "&amp;데이터입력!AB62</f>
        <v xml:space="preserve">  - 상비약구입 등</v>
      </c>
      <c r="M223" s="210"/>
      <c r="N223" s="819">
        <f>데이터입력!AC62</f>
        <v>200000</v>
      </c>
      <c r="O223" s="120" t="str">
        <f t="shared" ref="O223:O232" si="103">IF(P223="","","x ")</f>
        <v/>
      </c>
      <c r="P223" s="821"/>
      <c r="Q223" s="820" t="s">
        <v>404</v>
      </c>
      <c r="R223" s="822">
        <f>데이터입력!$U$88</f>
        <v>12</v>
      </c>
      <c r="S223" s="820"/>
      <c r="T223" s="820" t="s">
        <v>405</v>
      </c>
      <c r="U223" s="820"/>
      <c r="V223" s="823">
        <f t="shared" ref="V223:V232" si="104">IF(P223="",N223*R223,N223*P223*R223)</f>
        <v>2400000</v>
      </c>
      <c r="W223" s="825"/>
      <c r="X223" s="825"/>
      <c r="Y223" s="825"/>
      <c r="Z223" s="155"/>
      <c r="AA223" s="155"/>
      <c r="AB223" s="100"/>
    </row>
    <row r="224" spans="1:28">
      <c r="A224" s="117"/>
      <c r="B224" s="117"/>
      <c r="C224" s="117"/>
      <c r="D224" s="117"/>
      <c r="E224" s="117"/>
      <c r="F224" s="846"/>
      <c r="G224" s="847"/>
      <c r="H224" s="879"/>
      <c r="I224" s="848"/>
      <c r="J224" s="848"/>
      <c r="K224" s="850"/>
      <c r="L224" s="126" t="str">
        <f>"  - "&amp;데이터입력!AB63</f>
        <v xml:space="preserve">  - 진료비 등</v>
      </c>
      <c r="M224" s="210"/>
      <c r="N224" s="819">
        <f>데이터입력!AC63</f>
        <v>1800000</v>
      </c>
      <c r="O224" s="120" t="str">
        <f t="shared" si="103"/>
        <v/>
      </c>
      <c r="P224" s="821"/>
      <c r="Q224" s="820" t="s">
        <v>404</v>
      </c>
      <c r="R224" s="822">
        <f>데이터입력!$U$88</f>
        <v>12</v>
      </c>
      <c r="S224" s="820"/>
      <c r="T224" s="820" t="s">
        <v>405</v>
      </c>
      <c r="U224" s="820"/>
      <c r="V224" s="823">
        <f t="shared" si="104"/>
        <v>21600000</v>
      </c>
      <c r="W224" s="825"/>
      <c r="X224" s="825"/>
      <c r="Y224" s="825"/>
      <c r="Z224" s="155"/>
      <c r="AA224" s="155"/>
      <c r="AB224" s="100"/>
    </row>
    <row r="225" spans="1:28">
      <c r="A225" s="117"/>
      <c r="B225" s="117"/>
      <c r="C225" s="117"/>
      <c r="D225" s="117"/>
      <c r="E225" s="117"/>
      <c r="F225" s="846"/>
      <c r="G225" s="847"/>
      <c r="H225" s="879"/>
      <c r="I225" s="848"/>
      <c r="J225" s="848"/>
      <c r="K225" s="850"/>
      <c r="L225" s="126" t="str">
        <f>"  - "&amp;데이터입력!AB64</f>
        <v xml:space="preserve">  - 기타</v>
      </c>
      <c r="M225" s="210"/>
      <c r="N225" s="819">
        <f>데이터입력!AC64</f>
        <v>1000000</v>
      </c>
      <c r="O225" s="120" t="str">
        <f t="shared" si="103"/>
        <v/>
      </c>
      <c r="P225" s="821"/>
      <c r="Q225" s="820" t="s">
        <v>404</v>
      </c>
      <c r="R225" s="822">
        <f>데이터입력!$U$88</f>
        <v>12</v>
      </c>
      <c r="S225" s="820"/>
      <c r="T225" s="820" t="s">
        <v>405</v>
      </c>
      <c r="U225" s="820"/>
      <c r="V225" s="823">
        <f t="shared" si="104"/>
        <v>12000000</v>
      </c>
      <c r="W225" s="825"/>
      <c r="X225" s="825"/>
      <c r="Y225" s="825"/>
      <c r="Z225" s="155"/>
      <c r="AA225" s="155"/>
      <c r="AB225" s="100"/>
    </row>
    <row r="226" spans="1:28">
      <c r="A226" s="117"/>
      <c r="B226" s="117"/>
      <c r="C226" s="117"/>
      <c r="D226" s="117"/>
      <c r="E226" s="117"/>
      <c r="F226" s="846"/>
      <c r="G226" s="847"/>
      <c r="H226" s="879"/>
      <c r="I226" s="848"/>
      <c r="J226" s="848"/>
      <c r="K226" s="850"/>
      <c r="L226" s="126" t="str">
        <f>"  - "&amp;데이터입력!AB65</f>
        <v xml:space="preserve">  - </v>
      </c>
      <c r="M226" s="210"/>
      <c r="N226" s="819">
        <f>데이터입력!AC65</f>
        <v>0</v>
      </c>
      <c r="O226" s="120" t="str">
        <f t="shared" si="103"/>
        <v/>
      </c>
      <c r="P226" s="821"/>
      <c r="Q226" s="820" t="s">
        <v>404</v>
      </c>
      <c r="R226" s="822">
        <f>데이터입력!$U$88</f>
        <v>12</v>
      </c>
      <c r="S226" s="820"/>
      <c r="T226" s="820" t="s">
        <v>405</v>
      </c>
      <c r="U226" s="820"/>
      <c r="V226" s="823">
        <f t="shared" si="104"/>
        <v>0</v>
      </c>
      <c r="W226" s="825"/>
      <c r="X226" s="825"/>
      <c r="Y226" s="825"/>
      <c r="Z226" s="155"/>
      <c r="AA226" s="155"/>
      <c r="AB226" s="100"/>
    </row>
    <row r="227" spans="1:28" hidden="1">
      <c r="A227" s="117"/>
      <c r="B227" s="117"/>
      <c r="C227" s="117"/>
      <c r="D227" s="117"/>
      <c r="E227" s="117"/>
      <c r="F227" s="846"/>
      <c r="G227" s="847"/>
      <c r="H227" s="879"/>
      <c r="I227" s="848"/>
      <c r="J227" s="848"/>
      <c r="K227" s="850"/>
      <c r="L227" s="126" t="str">
        <f>"  - "&amp;데이터입력!AB66</f>
        <v xml:space="preserve">  - </v>
      </c>
      <c r="M227" s="210"/>
      <c r="N227" s="819">
        <f>데이터입력!AC66</f>
        <v>0</v>
      </c>
      <c r="O227" s="120" t="str">
        <f t="shared" si="103"/>
        <v/>
      </c>
      <c r="P227" s="821"/>
      <c r="Q227" s="820" t="s">
        <v>404</v>
      </c>
      <c r="R227" s="822">
        <f>데이터입력!$Y$8</f>
        <v>12</v>
      </c>
      <c r="S227" s="820"/>
      <c r="T227" s="820" t="s">
        <v>405</v>
      </c>
      <c r="U227" s="820"/>
      <c r="V227" s="823">
        <f t="shared" si="104"/>
        <v>0</v>
      </c>
      <c r="W227" s="825"/>
      <c r="X227" s="825"/>
      <c r="Y227" s="825"/>
      <c r="Z227" s="155"/>
      <c r="AA227" s="155"/>
      <c r="AB227" s="100"/>
    </row>
    <row r="228" spans="1:28" hidden="1">
      <c r="A228" s="117"/>
      <c r="B228" s="117"/>
      <c r="C228" s="117"/>
      <c r="D228" s="117"/>
      <c r="E228" s="117"/>
      <c r="F228" s="846"/>
      <c r="G228" s="847"/>
      <c r="H228" s="879"/>
      <c r="I228" s="848"/>
      <c r="J228" s="848"/>
      <c r="K228" s="850"/>
      <c r="L228" s="126" t="str">
        <f>"  - "&amp;데이터입력!AB67</f>
        <v xml:space="preserve">  - </v>
      </c>
      <c r="M228" s="210"/>
      <c r="N228" s="819">
        <f>데이터입력!AC67</f>
        <v>0</v>
      </c>
      <c r="O228" s="120" t="str">
        <f t="shared" si="103"/>
        <v/>
      </c>
      <c r="P228" s="821"/>
      <c r="Q228" s="820" t="s">
        <v>404</v>
      </c>
      <c r="R228" s="822">
        <f>데이터입력!$Y$8</f>
        <v>12</v>
      </c>
      <c r="S228" s="820"/>
      <c r="T228" s="820" t="s">
        <v>405</v>
      </c>
      <c r="U228" s="820"/>
      <c r="V228" s="823">
        <f t="shared" si="104"/>
        <v>0</v>
      </c>
      <c r="W228" s="825"/>
      <c r="X228" s="825"/>
      <c r="Y228" s="825"/>
      <c r="Z228" s="155"/>
      <c r="AA228" s="155"/>
      <c r="AB228" s="100"/>
    </row>
    <row r="229" spans="1:28" hidden="1">
      <c r="A229" s="117"/>
      <c r="B229" s="117"/>
      <c r="C229" s="117"/>
      <c r="D229" s="117"/>
      <c r="E229" s="117"/>
      <c r="F229" s="846"/>
      <c r="G229" s="847"/>
      <c r="H229" s="879"/>
      <c r="I229" s="848"/>
      <c r="J229" s="848"/>
      <c r="K229" s="850"/>
      <c r="L229" s="126" t="str">
        <f>"  - "&amp;데이터입력!AB68</f>
        <v xml:space="preserve">  - </v>
      </c>
      <c r="M229" s="210"/>
      <c r="N229" s="819">
        <f>데이터입력!AC68</f>
        <v>0</v>
      </c>
      <c r="O229" s="120" t="str">
        <f t="shared" si="103"/>
        <v/>
      </c>
      <c r="P229" s="821"/>
      <c r="Q229" s="820" t="s">
        <v>404</v>
      </c>
      <c r="R229" s="822">
        <f>데이터입력!$Y$8</f>
        <v>12</v>
      </c>
      <c r="S229" s="820"/>
      <c r="T229" s="820" t="s">
        <v>405</v>
      </c>
      <c r="U229" s="820"/>
      <c r="V229" s="823">
        <f t="shared" si="104"/>
        <v>0</v>
      </c>
      <c r="W229" s="825"/>
      <c r="X229" s="825"/>
      <c r="Y229" s="825"/>
      <c r="Z229" s="155"/>
      <c r="AA229" s="155"/>
      <c r="AB229" s="100"/>
    </row>
    <row r="230" spans="1:28" hidden="1">
      <c r="A230" s="117"/>
      <c r="B230" s="117"/>
      <c r="C230" s="117"/>
      <c r="D230" s="117"/>
      <c r="E230" s="117"/>
      <c r="F230" s="846"/>
      <c r="G230" s="847"/>
      <c r="H230" s="879"/>
      <c r="I230" s="848"/>
      <c r="J230" s="848"/>
      <c r="K230" s="850"/>
      <c r="L230" s="126" t="str">
        <f>"  - "&amp;데이터입력!AB69</f>
        <v xml:space="preserve">  - </v>
      </c>
      <c r="M230" s="210"/>
      <c r="N230" s="819">
        <f>데이터입력!AC69</f>
        <v>0</v>
      </c>
      <c r="O230" s="120" t="str">
        <f t="shared" si="103"/>
        <v/>
      </c>
      <c r="P230" s="821"/>
      <c r="Q230" s="820" t="s">
        <v>404</v>
      </c>
      <c r="R230" s="822">
        <f>데이터입력!$Y$8</f>
        <v>12</v>
      </c>
      <c r="S230" s="820"/>
      <c r="T230" s="820" t="s">
        <v>405</v>
      </c>
      <c r="U230" s="820"/>
      <c r="V230" s="823">
        <f t="shared" si="104"/>
        <v>0</v>
      </c>
      <c r="W230" s="825"/>
      <c r="X230" s="825"/>
      <c r="Y230" s="825"/>
      <c r="Z230" s="155"/>
      <c r="AA230" s="155"/>
      <c r="AB230" s="100"/>
    </row>
    <row r="231" spans="1:28" hidden="1">
      <c r="A231" s="117"/>
      <c r="B231" s="117"/>
      <c r="C231" s="117"/>
      <c r="D231" s="117"/>
      <c r="E231" s="117"/>
      <c r="F231" s="846"/>
      <c r="G231" s="847"/>
      <c r="H231" s="879"/>
      <c r="I231" s="848"/>
      <c r="J231" s="848"/>
      <c r="K231" s="850"/>
      <c r="L231" s="126" t="str">
        <f>"  - "&amp;데이터입력!AB70</f>
        <v xml:space="preserve">  - </v>
      </c>
      <c r="M231" s="210"/>
      <c r="N231" s="819">
        <f>데이터입력!AC70</f>
        <v>0</v>
      </c>
      <c r="O231" s="120" t="str">
        <f t="shared" si="103"/>
        <v/>
      </c>
      <c r="P231" s="821"/>
      <c r="Q231" s="820" t="s">
        <v>404</v>
      </c>
      <c r="R231" s="822">
        <f>데이터입력!$Y$8</f>
        <v>12</v>
      </c>
      <c r="S231" s="820"/>
      <c r="T231" s="820" t="s">
        <v>405</v>
      </c>
      <c r="U231" s="820"/>
      <c r="V231" s="823">
        <f t="shared" si="104"/>
        <v>0</v>
      </c>
      <c r="W231" s="825"/>
      <c r="X231" s="825"/>
      <c r="Y231" s="825"/>
      <c r="Z231" s="155"/>
      <c r="AA231" s="155"/>
      <c r="AB231" s="100"/>
    </row>
    <row r="232" spans="1:28" hidden="1">
      <c r="A232" s="117"/>
      <c r="B232" s="117"/>
      <c r="C232" s="117"/>
      <c r="D232" s="117"/>
      <c r="E232" s="117"/>
      <c r="F232" s="846"/>
      <c r="G232" s="847"/>
      <c r="H232" s="879"/>
      <c r="I232" s="848"/>
      <c r="J232" s="848"/>
      <c r="K232" s="850"/>
      <c r="L232" s="126" t="str">
        <f>"  - "&amp;데이터입력!AB71</f>
        <v xml:space="preserve">  - </v>
      </c>
      <c r="M232" s="210"/>
      <c r="N232" s="819">
        <f>데이터입력!AC71</f>
        <v>0</v>
      </c>
      <c r="O232" s="120" t="str">
        <f t="shared" si="103"/>
        <v/>
      </c>
      <c r="P232" s="821"/>
      <c r="Q232" s="820" t="s">
        <v>404</v>
      </c>
      <c r="R232" s="822">
        <f>데이터입력!$Y$8</f>
        <v>12</v>
      </c>
      <c r="S232" s="820"/>
      <c r="T232" s="820" t="s">
        <v>405</v>
      </c>
      <c r="U232" s="820"/>
      <c r="V232" s="823">
        <f t="shared" si="104"/>
        <v>0</v>
      </c>
      <c r="W232" s="825"/>
      <c r="X232" s="825"/>
      <c r="Y232" s="825"/>
      <c r="Z232" s="155"/>
      <c r="AA232" s="155"/>
      <c r="AB232" s="100"/>
    </row>
    <row r="233" spans="1:28">
      <c r="A233" s="117"/>
      <c r="B233" s="117"/>
      <c r="C233" s="117"/>
      <c r="D233" s="117"/>
      <c r="E233" s="117"/>
      <c r="F233" s="851" t="s">
        <v>418</v>
      </c>
      <c r="G233" s="852" t="s">
        <v>381</v>
      </c>
      <c r="H233" s="894">
        <f>IFERROR(IF(VLOOKUP(K233,데이터입력!$C$42:$L$137,5,FALSE)&lt;1000,ROUNDUP(VLOOKUP(K233,데이터입력!$C$42:$L$137,5,FALSE)*1/1000,0),ROUND(VLOOKUP(K233,데이터입력!$C$42:$L$137,5,FALSE)*1/1000,0)),0)</f>
        <v>0</v>
      </c>
      <c r="I233" s="853">
        <f t="shared" ref="I233:I234" si="105">IFERROR(IF(F233="06",IF(V233&lt;1000,ROUNDUP((V233)*1/1000,0),ROUND((V233)*1/1000,0)),IF(F233="07",IF(W233&lt;1000,ROUNDUP((W233)*1/1000,0),ROUND((W233)*1/1000,0)),IF(F233="05",IF(X233&lt;1000,ROUNDUP((X233)*1/1000,0),ROUND((X233)*1/1000,0))))),0)</f>
        <v>0</v>
      </c>
      <c r="J233" s="854">
        <f>I233-H233</f>
        <v>0</v>
      </c>
      <c r="K233" s="231" t="str">
        <f>L233&amp;"("&amp;G233&amp;")"</f>
        <v>의료비(보조금)</v>
      </c>
      <c r="L233" s="239" t="str">
        <f>L222</f>
        <v>의료비</v>
      </c>
      <c r="M233" s="240"/>
      <c r="N233" s="855">
        <f>IF(R233="",AA222,ROUNDUP(AA222/R233,-3))</f>
        <v>0</v>
      </c>
      <c r="O233" s="1135" t="str">
        <f t="shared" ref="O233:O234" si="106">IF(P233="","","x ")</f>
        <v/>
      </c>
      <c r="P233" s="857"/>
      <c r="Q233" s="856" t="s">
        <v>404</v>
      </c>
      <c r="R233" s="858">
        <f>IF(VLOOKUP($L233,데이터입력!$R$103:$U$132,4,FALSE)="",데이터입력!$Y$8,VLOOKUP($L233,데이터입력!$R$103:$U$132,4,FALSE))</f>
        <v>12</v>
      </c>
      <c r="S233" s="856"/>
      <c r="T233" s="856" t="s">
        <v>405</v>
      </c>
      <c r="U233" s="856"/>
      <c r="V233" s="861"/>
      <c r="W233" s="861">
        <f>IF(P233="",N233*R233,N233*P233*R233)</f>
        <v>0</v>
      </c>
      <c r="X233" s="860"/>
      <c r="Y233" s="860"/>
      <c r="Z233" s="100"/>
      <c r="AA233" s="100"/>
      <c r="AB233" s="100"/>
    </row>
    <row r="234" spans="1:28">
      <c r="A234" s="117"/>
      <c r="B234" s="117"/>
      <c r="C234" s="117"/>
      <c r="D234" s="117"/>
      <c r="E234" s="117"/>
      <c r="F234" s="862" t="s">
        <v>85</v>
      </c>
      <c r="G234" s="863" t="s">
        <v>19</v>
      </c>
      <c r="H234" s="891">
        <f>IFERROR(IF(VLOOKUP(K234,데이터입력!$C$42:$L$137,5,FALSE)&lt;1000,ROUNDUP(VLOOKUP(K234,데이터입력!$C$42:$L$137,5,FALSE)*1/1000,0),ROUND(VLOOKUP(K234,데이터입력!$C$42:$L$137,5,FALSE)*1/1000,0)),0)</f>
        <v>0</v>
      </c>
      <c r="I234" s="864">
        <f t="shared" si="105"/>
        <v>0</v>
      </c>
      <c r="J234" s="865">
        <f>I234-H234</f>
        <v>0</v>
      </c>
      <c r="K234" s="232" t="str">
        <f t="shared" ref="K234" si="107">L234&amp;"("&amp;G234&amp;")"</f>
        <v>의료비(후원금)</v>
      </c>
      <c r="L234" s="241" t="str">
        <f>L222</f>
        <v>의료비</v>
      </c>
      <c r="M234" s="242"/>
      <c r="N234" s="866">
        <f>IF(R234="",AB222,ROUNDUP(AB222/R234,-3))</f>
        <v>0</v>
      </c>
      <c r="O234" s="1134" t="str">
        <f t="shared" si="106"/>
        <v/>
      </c>
      <c r="P234" s="868"/>
      <c r="Q234" s="867" t="s">
        <v>404</v>
      </c>
      <c r="R234" s="869">
        <f>IF(VLOOKUP($L234,데이터입력!$R$133:$U$158,4,FALSE)="",데이터입력!$Y$8,VLOOKUP($L234,데이터입력!$R$133:$U$158,4,FALSE))</f>
        <v>12</v>
      </c>
      <c r="S234" s="867"/>
      <c r="T234" s="867" t="s">
        <v>405</v>
      </c>
      <c r="U234" s="867"/>
      <c r="V234" s="872"/>
      <c r="W234" s="872"/>
      <c r="X234" s="871">
        <f>IF(P234=0,N234*R234,N234*P234*R234)</f>
        <v>0</v>
      </c>
      <c r="Y234" s="871"/>
      <c r="Z234" s="100"/>
      <c r="AA234" s="100"/>
      <c r="AB234" s="100"/>
    </row>
    <row r="235" spans="1:28">
      <c r="A235" s="117"/>
      <c r="B235" s="117"/>
      <c r="C235" s="107" t="s">
        <v>64</v>
      </c>
      <c r="D235" s="107" t="s">
        <v>64</v>
      </c>
      <c r="E235" s="107">
        <v>503010501</v>
      </c>
      <c r="F235" s="839" t="s">
        <v>83</v>
      </c>
      <c r="G235" s="840" t="s">
        <v>6</v>
      </c>
      <c r="H235" s="877">
        <f>IFERROR(IF(VLOOKUP(K235,데이터입력!$C$42:$L$137,5,FALSE)&lt;1000,ROUNDUP(VLOOKUP(K235,데이터입력!$C$42:$L$137,5,FALSE)*1/1000,0),ROUND(VLOOKUP(K235,데이터입력!$C$42:$L$137,5,FALSE)*1/1000,0)),0)</f>
        <v>0</v>
      </c>
      <c r="I235" s="841">
        <f>IFERROR(IF(F235="06",IF(V235&lt;1000,ROUNDUP((V235)*1/1000,0),ROUND((V235)*1/1000,0)),IF(F235="07",IF(W235&lt;1000,ROUNDUP((W235)*1/1000,0),ROUND((W235)*1/1000,0)),IF(F235="05",IF(X235&lt;1000,ROUNDUP((X235)*1/1000,0),ROUND((X235)*1/1000,0))))),0)</f>
        <v>0</v>
      </c>
      <c r="J235" s="841">
        <f>I235-H235</f>
        <v>0</v>
      </c>
      <c r="K235" s="842" t="str">
        <f>L235&amp;"("&amp;G235&amp;")"</f>
        <v>장의비(수익사업)</v>
      </c>
      <c r="L235" s="111" t="str">
        <f>D235</f>
        <v>장의비</v>
      </c>
      <c r="M235" s="112"/>
      <c r="N235" s="843"/>
      <c r="O235" s="844"/>
      <c r="P235" s="843"/>
      <c r="Q235" s="844"/>
      <c r="R235" s="843"/>
      <c r="S235" s="844"/>
      <c r="T235" s="844"/>
      <c r="U235" s="844"/>
      <c r="V235" s="845">
        <f>SUM(V236:V239)</f>
        <v>0</v>
      </c>
      <c r="W235" s="845">
        <f>SUM(W236:W239)</f>
        <v>0</v>
      </c>
      <c r="X235" s="845">
        <f>SUM(X236:X239)</f>
        <v>0</v>
      </c>
      <c r="Y235" s="845">
        <f>SUM(V235:X235)</f>
        <v>0</v>
      </c>
      <c r="Z235" s="228">
        <f>IFERROR(VLOOKUP($L235,데이터입력!$R$70:$U$102,3,FALSE),0)</f>
        <v>0</v>
      </c>
      <c r="AA235" s="228">
        <f>IFERROR(VLOOKUP($L238,데이터입력!$R$103:$U$132,3,FALSE),0)</f>
        <v>0</v>
      </c>
      <c r="AB235" s="228">
        <f>IFERROR(VLOOKUP($L239,데이터입력!$R$133:$U$158,3,FALSE),0)</f>
        <v>0</v>
      </c>
    </row>
    <row r="236" spans="1:28">
      <c r="A236" s="117"/>
      <c r="B236" s="117"/>
      <c r="C236" s="117"/>
      <c r="D236" s="117"/>
      <c r="E236" s="117"/>
      <c r="F236" s="846"/>
      <c r="G236" s="847"/>
      <c r="H236" s="879"/>
      <c r="I236" s="848"/>
      <c r="J236" s="848"/>
      <c r="K236" s="850"/>
      <c r="L236" s="126" t="str">
        <f>"  - "&amp;L235</f>
        <v xml:space="preserve">  - 장의비</v>
      </c>
      <c r="M236" s="210"/>
      <c r="N236" s="819">
        <f>IF(R236="",Z235,ROUNDUP((Z235-V237)/R236,-3))</f>
        <v>0</v>
      </c>
      <c r="O236" s="120" t="str">
        <f>IF(P236="","","x ")</f>
        <v/>
      </c>
      <c r="P236" s="821"/>
      <c r="Q236" s="820" t="str">
        <f>IF(R236="","","x ")</f>
        <v xml:space="preserve">x </v>
      </c>
      <c r="R236" s="822">
        <f>IF(VLOOKUP($L235,데이터입력!$R$70:$U$102,4,FALSE)="",데이터입력!$Y$8,VLOOKUP($L235,데이터입력!$R$70:$U$102,4,FALSE))</f>
        <v>12</v>
      </c>
      <c r="S236" s="820"/>
      <c r="T236" s="820" t="s">
        <v>405</v>
      </c>
      <c r="U236" s="820"/>
      <c r="V236" s="823">
        <f>IF(R236="",N236,N236*R236)</f>
        <v>0</v>
      </c>
      <c r="W236" s="825"/>
      <c r="X236" s="825"/>
      <c r="Y236" s="825"/>
      <c r="Z236" s="229"/>
      <c r="AA236" s="229"/>
      <c r="AB236" s="230"/>
    </row>
    <row r="237" spans="1:28">
      <c r="A237" s="117"/>
      <c r="B237" s="117"/>
      <c r="C237" s="117"/>
      <c r="D237" s="117"/>
      <c r="E237" s="117"/>
      <c r="F237" s="846"/>
      <c r="G237" s="847"/>
      <c r="H237" s="879"/>
      <c r="I237" s="848"/>
      <c r="J237" s="848"/>
      <c r="K237" s="850"/>
      <c r="L237" s="126" t="s">
        <v>442</v>
      </c>
      <c r="M237" s="210"/>
      <c r="N237" s="819">
        <v>0</v>
      </c>
      <c r="O237" s="120" t="str">
        <f>IF(P237="","","x ")</f>
        <v/>
      </c>
      <c r="P237" s="821"/>
      <c r="Q237" s="820" t="s">
        <v>404</v>
      </c>
      <c r="R237" s="822">
        <f>IF(VLOOKUP($L235,데이터입력!$R$70:$U$102,4,FALSE)="",데이터입력!$Y$8,VLOOKUP($L235,데이터입력!$R$70:$U$102,4,FALSE))</f>
        <v>12</v>
      </c>
      <c r="S237" s="820"/>
      <c r="T237" s="820" t="s">
        <v>405</v>
      </c>
      <c r="U237" s="820"/>
      <c r="V237" s="823">
        <f>IF(P237=0,N237*R237,N237*P237*R237)</f>
        <v>0</v>
      </c>
      <c r="W237" s="825"/>
      <c r="X237" s="825"/>
      <c r="Y237" s="825"/>
      <c r="Z237" s="229"/>
      <c r="AA237" s="229"/>
      <c r="AB237" s="230"/>
    </row>
    <row r="238" spans="1:28">
      <c r="A238" s="117"/>
      <c r="B238" s="117"/>
      <c r="C238" s="117"/>
      <c r="D238" s="117"/>
      <c r="E238" s="117"/>
      <c r="F238" s="851" t="s">
        <v>418</v>
      </c>
      <c r="G238" s="852" t="s">
        <v>381</v>
      </c>
      <c r="H238" s="894">
        <f>IFERROR(IF(VLOOKUP(K238,데이터입력!$C$42:$L$137,5,FALSE)&lt;1000,ROUNDUP(VLOOKUP(K238,데이터입력!$C$42:$L$137,5,FALSE)*1/1000,0),ROUND(VLOOKUP(K238,데이터입력!$C$42:$L$137,5,FALSE)*1/1000,0)),0)</f>
        <v>0</v>
      </c>
      <c r="I238" s="853">
        <f t="shared" ref="I238:I239" si="108">IFERROR(IF(F238="06",IF(V238&lt;1000,ROUNDUP((V238)*1/1000,0),ROUND((V238)*1/1000,0)),IF(F238="07",IF(W238&lt;1000,ROUNDUP((W238)*1/1000,0),ROUND((W238)*1/1000,0)),IF(F238="05",IF(X238&lt;1000,ROUNDUP((X238)*1/1000,0),ROUND((X238)*1/1000,0))))),0)</f>
        <v>0</v>
      </c>
      <c r="J238" s="854">
        <f>I238-H238</f>
        <v>0</v>
      </c>
      <c r="K238" s="231" t="str">
        <f>L238&amp;"("&amp;G238&amp;")"</f>
        <v>장의비(보조금)</v>
      </c>
      <c r="L238" s="239" t="str">
        <f>L235</f>
        <v>장의비</v>
      </c>
      <c r="M238" s="240"/>
      <c r="N238" s="855">
        <f>IF(R238="",AA235,ROUNDUP(AA235/R238,-3))</f>
        <v>0</v>
      </c>
      <c r="O238" s="1135" t="str">
        <f t="shared" ref="O238:O239" si="109">IF(P238="","","x ")</f>
        <v/>
      </c>
      <c r="P238" s="857"/>
      <c r="Q238" s="856" t="s">
        <v>404</v>
      </c>
      <c r="R238" s="858">
        <f>IF(VLOOKUP($L238,데이터입력!$R$103:$U$132,4,FALSE)="",데이터입력!$Y$8,VLOOKUP($L238,데이터입력!$R$103:$U$132,4,FALSE))</f>
        <v>12</v>
      </c>
      <c r="S238" s="856"/>
      <c r="T238" s="856" t="s">
        <v>405</v>
      </c>
      <c r="U238" s="856"/>
      <c r="V238" s="861"/>
      <c r="W238" s="861">
        <f>IF(P238="",N238*R238,N238*P238*R238)</f>
        <v>0</v>
      </c>
      <c r="X238" s="860"/>
      <c r="Y238" s="860"/>
      <c r="Z238" s="230"/>
      <c r="AA238" s="230"/>
      <c r="AB238" s="230"/>
    </row>
    <row r="239" spans="1:28">
      <c r="A239" s="117"/>
      <c r="B239" s="117"/>
      <c r="C239" s="117"/>
      <c r="D239" s="117"/>
      <c r="E239" s="117"/>
      <c r="F239" s="862" t="s">
        <v>85</v>
      </c>
      <c r="G239" s="863" t="s">
        <v>19</v>
      </c>
      <c r="H239" s="891">
        <f>IFERROR(IF(VLOOKUP(K239,데이터입력!$C$42:$L$137,5,FALSE)&lt;1000,ROUNDUP(VLOOKUP(K239,데이터입력!$C$42:$L$137,5,FALSE)*1/1000,0),ROUND(VLOOKUP(K239,데이터입력!$C$42:$L$137,5,FALSE)*1/1000,0)),0)</f>
        <v>0</v>
      </c>
      <c r="I239" s="864">
        <f t="shared" si="108"/>
        <v>0</v>
      </c>
      <c r="J239" s="865">
        <f>I239-H239</f>
        <v>0</v>
      </c>
      <c r="K239" s="232" t="str">
        <f t="shared" ref="K239" si="110">L239&amp;"("&amp;G239&amp;")"</f>
        <v>장의비(후원금)</v>
      </c>
      <c r="L239" s="241" t="str">
        <f>L235</f>
        <v>장의비</v>
      </c>
      <c r="M239" s="242"/>
      <c r="N239" s="866">
        <f>IF(R239="",AB235,ROUNDUP(AB235/R239,-3))</f>
        <v>0</v>
      </c>
      <c r="O239" s="1134" t="str">
        <f t="shared" si="109"/>
        <v/>
      </c>
      <c r="P239" s="868"/>
      <c r="Q239" s="867" t="s">
        <v>404</v>
      </c>
      <c r="R239" s="869">
        <f>IF(VLOOKUP($L239,데이터입력!$R$133:$U$158,4,FALSE)="",데이터입력!$Y$8,VLOOKUP($L239,데이터입력!$R$133:$U$158,4,FALSE))</f>
        <v>12</v>
      </c>
      <c r="S239" s="867"/>
      <c r="T239" s="867" t="s">
        <v>405</v>
      </c>
      <c r="U239" s="867"/>
      <c r="V239" s="872"/>
      <c r="W239" s="872"/>
      <c r="X239" s="871">
        <f>IF(P239=0,N239*R239,N239*P239*R239)</f>
        <v>0</v>
      </c>
      <c r="Y239" s="871"/>
      <c r="Z239" s="230"/>
      <c r="AA239" s="230"/>
      <c r="AB239" s="230"/>
    </row>
    <row r="240" spans="1:28" s="254" customFormat="1">
      <c r="A240" s="253"/>
      <c r="B240" s="255" t="s">
        <v>312</v>
      </c>
      <c r="C240" s="287"/>
      <c r="D240" s="287"/>
      <c r="E240" s="287"/>
      <c r="F240" s="895"/>
      <c r="G240" s="895"/>
      <c r="H240" s="246">
        <f>SUM(H241:H259)</f>
        <v>13518</v>
      </c>
      <c r="I240" s="246">
        <f t="shared" ref="I240:J240" si="111">SUM(I241:I259)</f>
        <v>14402</v>
      </c>
      <c r="J240" s="246">
        <f t="shared" si="111"/>
        <v>884</v>
      </c>
      <c r="K240" s="246"/>
      <c r="L240" s="258"/>
      <c r="M240" s="258"/>
      <c r="N240" s="258"/>
      <c r="O240" s="258"/>
      <c r="P240" s="258"/>
      <c r="Q240" s="258"/>
      <c r="R240" s="258"/>
      <c r="S240" s="258"/>
      <c r="T240" s="258"/>
      <c r="U240" s="258"/>
      <c r="V240" s="247">
        <f>SUM(V241,V254,V257)</f>
        <v>14402000</v>
      </c>
      <c r="W240" s="247">
        <f>SUM(W241,W254,W257)</f>
        <v>0</v>
      </c>
      <c r="X240" s="247">
        <f>SUM(X241,X254,X257)</f>
        <v>0</v>
      </c>
      <c r="Y240" s="247">
        <f t="shared" ref="Y240" si="112">SUM(V240:X240)</f>
        <v>14402000</v>
      </c>
      <c r="Z240" s="155"/>
      <c r="AA240" s="155"/>
      <c r="AB240" s="155"/>
    </row>
    <row r="241" spans="1:28">
      <c r="A241" s="117"/>
      <c r="B241" s="117"/>
      <c r="C241" s="107" t="s">
        <v>65</v>
      </c>
      <c r="D241" s="107" t="s">
        <v>65</v>
      </c>
      <c r="E241" s="107">
        <v>503030101</v>
      </c>
      <c r="F241" s="839" t="s">
        <v>83</v>
      </c>
      <c r="G241" s="840" t="s">
        <v>6</v>
      </c>
      <c r="H241" s="877">
        <f>IFERROR(IF(VLOOKUP(K241,데이터입력!$C$42:$L$137,5,FALSE)&lt;1000,ROUNDUP(VLOOKUP(K241,데이터입력!$C$42:$L$137,5,FALSE)*1/1000,0),ROUND(VLOOKUP(K241,데이터입력!$C$42:$L$137,5,FALSE)*1/1000,0)),0)</f>
        <v>13518</v>
      </c>
      <c r="I241" s="841">
        <f>IFERROR(IF(F241="06",IF(V241&lt;1000,ROUNDUP((V241)*1/1000,0),ROUND((V241)*1/1000,0)),IF(F241="07",IF(W241&lt;1000,ROUNDUP((W241)*1/1000,0),ROUND((W241)*1/1000,0)),IF(F241="05",IF(X241&lt;1000,ROUNDUP((X241)*1/1000,0),ROUND((X241)*1/1000,0))))),0)</f>
        <v>14402</v>
      </c>
      <c r="J241" s="841">
        <f>I241-H241</f>
        <v>884</v>
      </c>
      <c r="K241" s="842" t="str">
        <f>L241&amp;"("&amp;G241&amp;")"</f>
        <v>프로그램 사업비(수익사업)</v>
      </c>
      <c r="L241" s="111" t="str">
        <f>D241</f>
        <v>프로그램 사업비</v>
      </c>
      <c r="M241" s="112"/>
      <c r="N241" s="843"/>
      <c r="O241" s="844"/>
      <c r="P241" s="843"/>
      <c r="Q241" s="844"/>
      <c r="R241" s="843"/>
      <c r="S241" s="844"/>
      <c r="T241" s="844"/>
      <c r="U241" s="844"/>
      <c r="V241" s="845">
        <f>SUM(V242:V253)</f>
        <v>14402000</v>
      </c>
      <c r="W241" s="892"/>
      <c r="X241" s="845">
        <f>SUM(X242:X253)</f>
        <v>0</v>
      </c>
      <c r="Y241" s="845">
        <f>SUM(V241:X241)</f>
        <v>14402000</v>
      </c>
      <c r="Z241" s="228">
        <f>IFERROR(VLOOKUP($L241,데이터입력!$R$70:$U$102,3,FALSE),0)</f>
        <v>14400000</v>
      </c>
      <c r="AA241" s="228">
        <f>IFERROR(VLOOKUP($L252,데이터입력!$R$103:$U$132,3,FALSE),0)</f>
        <v>0</v>
      </c>
      <c r="AB241" s="228">
        <f>IFERROR(VLOOKUP($L253,데이터입력!$R$133:$U$158,3,FALSE),0)</f>
        <v>0</v>
      </c>
    </row>
    <row r="242" spans="1:28">
      <c r="A242" s="117"/>
      <c r="B242" s="117"/>
      <c r="C242" s="117"/>
      <c r="D242" s="117"/>
      <c r="E242" s="117"/>
      <c r="F242" s="846"/>
      <c r="G242" s="847"/>
      <c r="H242" s="879"/>
      <c r="I242" s="848"/>
      <c r="J242" s="848"/>
      <c r="K242" s="850"/>
      <c r="L242" s="126" t="str">
        <f>"  - "&amp;데이터입력!X62</f>
        <v xml:space="preserve">  - 재료비 등</v>
      </c>
      <c r="M242" s="210"/>
      <c r="N242" s="819">
        <f>데이터입력!Y62</f>
        <v>266000</v>
      </c>
      <c r="O242" s="120" t="str">
        <f t="shared" ref="O242:O251" si="113">IF(P242="","","x ")</f>
        <v/>
      </c>
      <c r="P242" s="821" t="str">
        <f>IF(OR(데이터입력!Z62="",데이터입력!Z62=0),"",데이터입력!Z62)</f>
        <v/>
      </c>
      <c r="Q242" s="820" t="s">
        <v>404</v>
      </c>
      <c r="R242" s="822">
        <f>IF(데이터입력!AA62="",데이터입력!$Y$8,데이터입력!AA62)</f>
        <v>12</v>
      </c>
      <c r="S242" s="820"/>
      <c r="T242" s="820" t="s">
        <v>405</v>
      </c>
      <c r="U242" s="820"/>
      <c r="V242" s="823">
        <f t="shared" ref="V242:V251" si="114">IF(P242="",N242*R242,N242*P242*R242)</f>
        <v>3192000</v>
      </c>
      <c r="W242" s="825"/>
      <c r="X242" s="825"/>
      <c r="Y242" s="825"/>
      <c r="Z242" s="155"/>
      <c r="AA242" s="155"/>
      <c r="AB242" s="100"/>
    </row>
    <row r="243" spans="1:28">
      <c r="A243" s="117"/>
      <c r="B243" s="117"/>
      <c r="C243" s="117"/>
      <c r="D243" s="117"/>
      <c r="E243" s="117"/>
      <c r="F243" s="846"/>
      <c r="G243" s="847"/>
      <c r="H243" s="879"/>
      <c r="I243" s="848"/>
      <c r="J243" s="848"/>
      <c r="K243" s="850"/>
      <c r="L243" s="126" t="str">
        <f>"  - "&amp;데이터입력!X63</f>
        <v xml:space="preserve">  - 웃음치료 등</v>
      </c>
      <c r="M243" s="210"/>
      <c r="N243" s="819">
        <f>데이터입력!Y63</f>
        <v>240000</v>
      </c>
      <c r="O243" s="120" t="str">
        <f t="shared" si="113"/>
        <v/>
      </c>
      <c r="P243" s="821" t="str">
        <f>IF(OR(데이터입력!Z63="",데이터입력!Z63=0),"",데이터입력!Z63)</f>
        <v/>
      </c>
      <c r="Q243" s="820" t="s">
        <v>404</v>
      </c>
      <c r="R243" s="822">
        <f>IF(데이터입력!AA63="",데이터입력!$Y$8,데이터입력!AA63)</f>
        <v>12</v>
      </c>
      <c r="S243" s="820"/>
      <c r="T243" s="820" t="s">
        <v>405</v>
      </c>
      <c r="U243" s="820"/>
      <c r="V243" s="823">
        <f t="shared" si="114"/>
        <v>2880000</v>
      </c>
      <c r="W243" s="825"/>
      <c r="X243" s="825"/>
      <c r="Y243" s="825"/>
      <c r="Z243" s="155"/>
      <c r="AA243" s="155"/>
      <c r="AB243" s="100"/>
    </row>
    <row r="244" spans="1:28">
      <c r="A244" s="117"/>
      <c r="B244" s="117"/>
      <c r="C244" s="117"/>
      <c r="D244" s="117"/>
      <c r="E244" s="117"/>
      <c r="F244" s="846"/>
      <c r="G244" s="847"/>
      <c r="H244" s="879"/>
      <c r="I244" s="848"/>
      <c r="J244" s="848"/>
      <c r="K244" s="850"/>
      <c r="L244" s="126" t="str">
        <f>"  - "&amp;데이터입력!X64</f>
        <v xml:space="preserve">  - 맞춤치료 등</v>
      </c>
      <c r="M244" s="210"/>
      <c r="N244" s="819">
        <f>데이터입력!Y64</f>
        <v>240000</v>
      </c>
      <c r="O244" s="120" t="str">
        <f t="shared" si="113"/>
        <v/>
      </c>
      <c r="P244" s="821" t="str">
        <f>IF(OR(데이터입력!Z64="",데이터입력!Z64=0),"",데이터입력!Z64)</f>
        <v/>
      </c>
      <c r="Q244" s="820" t="s">
        <v>404</v>
      </c>
      <c r="R244" s="822">
        <f>IF(데이터입력!AA64="",데이터입력!$Y$8,데이터입력!AA64)</f>
        <v>12</v>
      </c>
      <c r="S244" s="820"/>
      <c r="T244" s="820" t="s">
        <v>405</v>
      </c>
      <c r="U244" s="820"/>
      <c r="V244" s="823">
        <f t="shared" si="114"/>
        <v>2880000</v>
      </c>
      <c r="W244" s="825"/>
      <c r="X244" s="825"/>
      <c r="Y244" s="825"/>
      <c r="Z244" s="155"/>
      <c r="AA244" s="155"/>
      <c r="AB244" s="100"/>
    </row>
    <row r="245" spans="1:28">
      <c r="A245" s="117"/>
      <c r="B245" s="117"/>
      <c r="C245" s="117"/>
      <c r="D245" s="117"/>
      <c r="E245" s="117"/>
      <c r="F245" s="846"/>
      <c r="G245" s="847"/>
      <c r="H245" s="879"/>
      <c r="I245" s="848"/>
      <c r="J245" s="848"/>
      <c r="K245" s="850"/>
      <c r="L245" s="126" t="str">
        <f>"  - "&amp;데이터입력!X65</f>
        <v xml:space="preserve">  - 명절잔치(수급자)</v>
      </c>
      <c r="M245" s="210"/>
      <c r="N245" s="819">
        <f>데이터입력!Y65</f>
        <v>5000</v>
      </c>
      <c r="O245" s="120" t="str">
        <f t="shared" si="113"/>
        <v xml:space="preserve">x </v>
      </c>
      <c r="P245" s="821">
        <f>IF(OR(데이터입력!Z65="",데이터입력!Z65=0),"",데이터입력!Z65)</f>
        <v>45</v>
      </c>
      <c r="Q245" s="820" t="s">
        <v>404</v>
      </c>
      <c r="R245" s="822">
        <f>IF(데이터입력!AA65="",데이터입력!$Y$8,데이터입력!AA65)</f>
        <v>2</v>
      </c>
      <c r="S245" s="820"/>
      <c r="T245" s="820" t="s">
        <v>405</v>
      </c>
      <c r="U245" s="820"/>
      <c r="V245" s="823">
        <f t="shared" si="114"/>
        <v>450000</v>
      </c>
      <c r="W245" s="825"/>
      <c r="X245" s="825"/>
      <c r="Y245" s="825"/>
      <c r="Z245" s="155"/>
      <c r="AA245" s="155"/>
      <c r="AB245" s="100"/>
    </row>
    <row r="246" spans="1:28">
      <c r="A246" s="117"/>
      <c r="B246" s="117"/>
      <c r="C246" s="117"/>
      <c r="D246" s="117"/>
      <c r="E246" s="117"/>
      <c r="F246" s="846"/>
      <c r="G246" s="847"/>
      <c r="H246" s="879"/>
      <c r="I246" s="848"/>
      <c r="J246" s="848"/>
      <c r="K246" s="850"/>
      <c r="L246" s="126" t="str">
        <f>"  - "&amp;데이터입력!X66</f>
        <v xml:space="preserve">  - 생일잔치(수급자)</v>
      </c>
      <c r="M246" s="210"/>
      <c r="N246" s="819">
        <f>데이터입력!Y66</f>
        <v>300000</v>
      </c>
      <c r="O246" s="120" t="str">
        <f t="shared" si="113"/>
        <v/>
      </c>
      <c r="P246" s="821" t="str">
        <f>IF(OR(데이터입력!Z66="",데이터입력!Z66=0),"",데이터입력!Z66)</f>
        <v/>
      </c>
      <c r="Q246" s="820" t="s">
        <v>404</v>
      </c>
      <c r="R246" s="822">
        <f>IF(데이터입력!AA66="",데이터입력!$Y$8,데이터입력!AA66)</f>
        <v>12</v>
      </c>
      <c r="S246" s="820"/>
      <c r="T246" s="820" t="s">
        <v>405</v>
      </c>
      <c r="U246" s="820"/>
      <c r="V246" s="823">
        <f t="shared" si="114"/>
        <v>3600000</v>
      </c>
      <c r="W246" s="825"/>
      <c r="X246" s="825"/>
      <c r="Y246" s="825"/>
      <c r="Z246" s="155"/>
      <c r="AA246" s="155"/>
      <c r="AB246" s="100"/>
    </row>
    <row r="247" spans="1:28">
      <c r="A247" s="117"/>
      <c r="B247" s="117"/>
      <c r="C247" s="117"/>
      <c r="D247" s="117"/>
      <c r="E247" s="117"/>
      <c r="F247" s="846"/>
      <c r="G247" s="847"/>
      <c r="H247" s="879"/>
      <c r="I247" s="848"/>
      <c r="J247" s="848"/>
      <c r="K247" s="850"/>
      <c r="L247" s="126" t="str">
        <f>"  - "&amp;데이터입력!X67</f>
        <v xml:space="preserve">  - 가족내방행사</v>
      </c>
      <c r="M247" s="210"/>
      <c r="N247" s="819">
        <f>데이터입력!Y67</f>
        <v>1000000</v>
      </c>
      <c r="O247" s="120" t="str">
        <f t="shared" si="113"/>
        <v/>
      </c>
      <c r="P247" s="821" t="str">
        <f>IF(OR(데이터입력!Z67="",데이터입력!Z67=0),"",데이터입력!Z67)</f>
        <v/>
      </c>
      <c r="Q247" s="820" t="s">
        <v>404</v>
      </c>
      <c r="R247" s="822">
        <f>IF(데이터입력!AA67="",데이터입력!$Y$8,데이터입력!AA67)</f>
        <v>1</v>
      </c>
      <c r="S247" s="820"/>
      <c r="T247" s="820" t="s">
        <v>405</v>
      </c>
      <c r="U247" s="820"/>
      <c r="V247" s="823">
        <f t="shared" si="114"/>
        <v>1000000</v>
      </c>
      <c r="W247" s="825"/>
      <c r="X247" s="825"/>
      <c r="Y247" s="825"/>
      <c r="Z247" s="155"/>
      <c r="AA247" s="155"/>
      <c r="AB247" s="100"/>
    </row>
    <row r="248" spans="1:28">
      <c r="A248" s="117"/>
      <c r="B248" s="117"/>
      <c r="C248" s="117"/>
      <c r="D248" s="117"/>
      <c r="E248" s="117"/>
      <c r="F248" s="846"/>
      <c r="G248" s="847"/>
      <c r="H248" s="879"/>
      <c r="I248" s="848"/>
      <c r="J248" s="848"/>
      <c r="K248" s="850"/>
      <c r="L248" s="126" t="str">
        <f>"  - "&amp;데이터입력!X68</f>
        <v xml:space="preserve">  - 지역사회참여</v>
      </c>
      <c r="M248" s="210"/>
      <c r="N248" s="819">
        <f>데이터입력!Y68</f>
        <v>200000</v>
      </c>
      <c r="O248" s="120" t="str">
        <f t="shared" si="113"/>
        <v/>
      </c>
      <c r="P248" s="821" t="str">
        <f>IF(OR(데이터입력!Z68="",데이터입력!Z68=0),"",데이터입력!Z68)</f>
        <v/>
      </c>
      <c r="Q248" s="820" t="s">
        <v>404</v>
      </c>
      <c r="R248" s="822">
        <f>IF(데이터입력!AA68="",데이터입력!$Y$8,데이터입력!AA68)</f>
        <v>2</v>
      </c>
      <c r="S248" s="820"/>
      <c r="T248" s="820" t="s">
        <v>405</v>
      </c>
      <c r="U248" s="820"/>
      <c r="V248" s="823">
        <f t="shared" si="114"/>
        <v>400000</v>
      </c>
      <c r="W248" s="825"/>
      <c r="X248" s="825"/>
      <c r="Y248" s="825"/>
      <c r="Z248" s="155"/>
      <c r="AA248" s="155"/>
      <c r="AB248" s="100"/>
    </row>
    <row r="249" spans="1:28">
      <c r="A249" s="117"/>
      <c r="B249" s="117"/>
      <c r="C249" s="117"/>
      <c r="D249" s="117"/>
      <c r="E249" s="117"/>
      <c r="F249" s="846"/>
      <c r="G249" s="847"/>
      <c r="H249" s="879"/>
      <c r="I249" s="848"/>
      <c r="J249" s="848"/>
      <c r="K249" s="850"/>
      <c r="L249" s="126" t="str">
        <f>"  - "&amp;데이터입력!X69</f>
        <v xml:space="preserve">  - </v>
      </c>
      <c r="M249" s="210"/>
      <c r="N249" s="819">
        <f>데이터입력!Y69</f>
        <v>0</v>
      </c>
      <c r="O249" s="120" t="str">
        <f t="shared" si="113"/>
        <v/>
      </c>
      <c r="P249" s="821" t="str">
        <f>IF(OR(데이터입력!Z69="",데이터입력!Z69=0),"",데이터입력!Z69)</f>
        <v/>
      </c>
      <c r="Q249" s="820" t="s">
        <v>404</v>
      </c>
      <c r="R249" s="822">
        <f>IF(데이터입력!AA69="",데이터입력!$Y$8,데이터입력!AA69)</f>
        <v>12</v>
      </c>
      <c r="S249" s="820"/>
      <c r="T249" s="820" t="s">
        <v>405</v>
      </c>
      <c r="U249" s="820"/>
      <c r="V249" s="823">
        <f t="shared" si="114"/>
        <v>0</v>
      </c>
      <c r="W249" s="825"/>
      <c r="X249" s="825"/>
      <c r="Y249" s="825"/>
      <c r="Z249" s="155"/>
      <c r="AA249" s="155"/>
      <c r="AB249" s="100"/>
    </row>
    <row r="250" spans="1:28" hidden="1">
      <c r="A250" s="117"/>
      <c r="B250" s="117"/>
      <c r="C250" s="117"/>
      <c r="D250" s="117"/>
      <c r="E250" s="117"/>
      <c r="F250" s="846"/>
      <c r="G250" s="847"/>
      <c r="H250" s="879"/>
      <c r="I250" s="848"/>
      <c r="J250" s="848"/>
      <c r="K250" s="850"/>
      <c r="L250" s="126" t="str">
        <f>"  - "&amp;데이터입력!X70</f>
        <v xml:space="preserve">  - </v>
      </c>
      <c r="M250" s="210"/>
      <c r="N250" s="819">
        <f>데이터입력!Y70</f>
        <v>0</v>
      </c>
      <c r="O250" s="120" t="str">
        <f t="shared" si="113"/>
        <v/>
      </c>
      <c r="P250" s="821" t="str">
        <f>IF(OR(데이터입력!Z70="",데이터입력!Z70=0),"",데이터입력!Z70)</f>
        <v/>
      </c>
      <c r="Q250" s="820" t="s">
        <v>404</v>
      </c>
      <c r="R250" s="822">
        <f>IF(데이터입력!AA70="",데이터입력!$Y$8,데이터입력!AA70)</f>
        <v>12</v>
      </c>
      <c r="S250" s="820"/>
      <c r="T250" s="820" t="s">
        <v>405</v>
      </c>
      <c r="U250" s="820"/>
      <c r="V250" s="823">
        <f t="shared" si="114"/>
        <v>0</v>
      </c>
      <c r="W250" s="825"/>
      <c r="X250" s="825"/>
      <c r="Y250" s="825"/>
      <c r="Z250" s="155"/>
      <c r="AA250" s="155"/>
      <c r="AB250" s="100"/>
    </row>
    <row r="251" spans="1:28" hidden="1">
      <c r="A251" s="117"/>
      <c r="B251" s="117"/>
      <c r="C251" s="117"/>
      <c r="D251" s="117"/>
      <c r="E251" s="117"/>
      <c r="F251" s="846"/>
      <c r="G251" s="847"/>
      <c r="H251" s="879"/>
      <c r="I251" s="848"/>
      <c r="J251" s="848"/>
      <c r="K251" s="850"/>
      <c r="L251" s="126" t="str">
        <f>"  - "&amp;데이터입력!X71</f>
        <v xml:space="preserve">  - </v>
      </c>
      <c r="M251" s="210"/>
      <c r="N251" s="819">
        <f>데이터입력!Y71</f>
        <v>0</v>
      </c>
      <c r="O251" s="120" t="str">
        <f t="shared" si="113"/>
        <v/>
      </c>
      <c r="P251" s="821" t="str">
        <f>IF(OR(데이터입력!Z71="",데이터입력!Z71=0),"",데이터입력!Z71)</f>
        <v/>
      </c>
      <c r="Q251" s="820" t="s">
        <v>404</v>
      </c>
      <c r="R251" s="822">
        <f>IF(데이터입력!AA71="",데이터입력!$Y$8,데이터입력!AA71)</f>
        <v>12</v>
      </c>
      <c r="S251" s="820"/>
      <c r="T251" s="820" t="s">
        <v>405</v>
      </c>
      <c r="U251" s="820"/>
      <c r="V251" s="823">
        <f t="shared" si="114"/>
        <v>0</v>
      </c>
      <c r="W251" s="825"/>
      <c r="X251" s="825"/>
      <c r="Y251" s="825"/>
      <c r="Z251" s="155"/>
      <c r="AA251" s="155"/>
      <c r="AB251" s="100"/>
    </row>
    <row r="252" spans="1:28">
      <c r="A252" s="117"/>
      <c r="B252" s="117"/>
      <c r="C252" s="117"/>
      <c r="D252" s="117"/>
      <c r="E252" s="117"/>
      <c r="F252" s="851" t="s">
        <v>418</v>
      </c>
      <c r="G252" s="852" t="s">
        <v>381</v>
      </c>
      <c r="H252" s="894">
        <f>IFERROR(IF(VLOOKUP(K252,데이터입력!$C$42:$L$137,5,FALSE)&lt;1000,ROUNDUP(VLOOKUP(K252,데이터입력!$C$42:$L$137,5,FALSE)*1/1000,0),ROUND(VLOOKUP(K252,데이터입력!$C$42:$L$137,5,FALSE)*1/1000,0)),0)</f>
        <v>0</v>
      </c>
      <c r="I252" s="853">
        <f t="shared" ref="I252:I253" si="115">IFERROR(IF(F252="06",IF(V252&lt;1000,ROUNDUP((V252)*1/1000,0),ROUND((V252)*1/1000,0)),IF(F252="07",IF(W252&lt;1000,ROUNDUP((W252)*1/1000,0),ROUND((W252)*1/1000,0)),IF(F252="05",IF(X252&lt;1000,ROUNDUP((X252)*1/1000,0),ROUND((X252)*1/1000,0))))),0)</f>
        <v>0</v>
      </c>
      <c r="J252" s="854">
        <f>I252-H252</f>
        <v>0</v>
      </c>
      <c r="K252" s="231" t="str">
        <f>L252&amp;"("&amp;G252&amp;")"</f>
        <v>프로그램 사업비(보조금)</v>
      </c>
      <c r="L252" s="239" t="str">
        <f>L241</f>
        <v>프로그램 사업비</v>
      </c>
      <c r="M252" s="240"/>
      <c r="N252" s="855">
        <f>IF(R252="",AA241,ROUNDUP(AA241/R252,-3))</f>
        <v>0</v>
      </c>
      <c r="O252" s="1135" t="str">
        <f t="shared" ref="O252:O253" si="116">IF(P252="","","x ")</f>
        <v/>
      </c>
      <c r="P252" s="857"/>
      <c r="Q252" s="856" t="s">
        <v>404</v>
      </c>
      <c r="R252" s="858">
        <f>IF(VLOOKUP($L252,데이터입력!$R$103:$U$132,4,FALSE)="",데이터입력!$Y$8,VLOOKUP($L252,데이터입력!$R$103:$U$132,4,FALSE))</f>
        <v>12</v>
      </c>
      <c r="S252" s="856"/>
      <c r="T252" s="856" t="s">
        <v>405</v>
      </c>
      <c r="U252" s="856"/>
      <c r="V252" s="861"/>
      <c r="W252" s="861">
        <f>IF(P252="",N252*R252,N252*P252*R252)</f>
        <v>0</v>
      </c>
      <c r="X252" s="860"/>
      <c r="Y252" s="860"/>
      <c r="Z252" s="100"/>
      <c r="AA252" s="100"/>
      <c r="AB252" s="100"/>
    </row>
    <row r="253" spans="1:28">
      <c r="A253" s="117"/>
      <c r="B253" s="117"/>
      <c r="C253" s="117"/>
      <c r="D253" s="117"/>
      <c r="E253" s="117"/>
      <c r="F253" s="862" t="s">
        <v>85</v>
      </c>
      <c r="G253" s="863" t="s">
        <v>19</v>
      </c>
      <c r="H253" s="891">
        <f>IFERROR(IF(VLOOKUP(K253,데이터입력!$C$42:$L$137,5,FALSE)&lt;1000,ROUNDUP(VLOOKUP(K253,데이터입력!$C$42:$L$137,5,FALSE)*1/1000,0),ROUND(VLOOKUP(K253,데이터입력!$C$42:$L$137,5,FALSE)*1/1000,0)),0)</f>
        <v>0</v>
      </c>
      <c r="I253" s="864">
        <f t="shared" si="115"/>
        <v>0</v>
      </c>
      <c r="J253" s="865">
        <f>I253-H253</f>
        <v>0</v>
      </c>
      <c r="K253" s="232" t="str">
        <f t="shared" ref="K253" si="117">L253&amp;"("&amp;G253&amp;")"</f>
        <v>프로그램 사업비(후원금)</v>
      </c>
      <c r="L253" s="241" t="str">
        <f>L241</f>
        <v>프로그램 사업비</v>
      </c>
      <c r="M253" s="242"/>
      <c r="N253" s="866">
        <f>IF(R253="",AB241,ROUNDUP(AB241/R253,-3))</f>
        <v>0</v>
      </c>
      <c r="O253" s="1134" t="str">
        <f t="shared" si="116"/>
        <v/>
      </c>
      <c r="P253" s="868"/>
      <c r="Q253" s="867" t="s">
        <v>404</v>
      </c>
      <c r="R253" s="869">
        <f>IF(VLOOKUP($L253,데이터입력!$R$133:$U$158,4,FALSE)="",데이터입력!$Y$8,VLOOKUP($L253,데이터입력!$R$133:$U$158,4,FALSE))</f>
        <v>12</v>
      </c>
      <c r="S253" s="867"/>
      <c r="T253" s="867" t="s">
        <v>405</v>
      </c>
      <c r="U253" s="867"/>
      <c r="V253" s="872"/>
      <c r="W253" s="872"/>
      <c r="X253" s="871">
        <f>IF(P253=0,N253*R253,N253*P253*R253)</f>
        <v>0</v>
      </c>
      <c r="Y253" s="871"/>
      <c r="Z253" s="100"/>
      <c r="AA253" s="100"/>
      <c r="AB253" s="100"/>
    </row>
    <row r="254" spans="1:28" hidden="1">
      <c r="A254" s="117"/>
      <c r="B254" s="157"/>
      <c r="C254" s="117"/>
      <c r="D254" s="107" t="s">
        <v>444</v>
      </c>
      <c r="E254" s="107">
        <v>503030102</v>
      </c>
      <c r="F254" s="839" t="s">
        <v>83</v>
      </c>
      <c r="G254" s="840" t="s">
        <v>6</v>
      </c>
      <c r="H254" s="877">
        <f>IFERROR(IF(VLOOKUP(K254,데이터입력!$C$42:$L$137,5,FALSE)&lt;1000,ROUNDUP(VLOOKUP(K254,데이터입력!$C$42:$L$137,5,FALSE)*1/1000,0),ROUND(VLOOKUP(K254,데이터입력!$C$42:$L$137,5,FALSE)*1/1000,0)),0)</f>
        <v>0</v>
      </c>
      <c r="I254" s="841">
        <f>IFERROR(IF(F254="06",IF(V254&lt;1000,ROUNDUP((V254)*1/1000,0),ROUND((V254)*1/1000,0)),IF(F254="07",IF(W254&lt;1000,ROUNDUP((W254)*1/1000,0),ROUND((W254)*1/1000,0)),IF(F254="05",IF(X254&lt;1000,ROUNDUP((X254)*1/1000,0),ROUND((X254)*1/1000,0))))),0)</f>
        <v>0</v>
      </c>
      <c r="J254" s="841">
        <f>I254-H254</f>
        <v>0</v>
      </c>
      <c r="K254" s="842" t="str">
        <f>L254&amp;"("&amp;G254&amp;")"</f>
        <v>대여용구취득비(수익사업)</v>
      </c>
      <c r="L254" s="111" t="str">
        <f>D254</f>
        <v>대여용구취득비</v>
      </c>
      <c r="M254" s="112"/>
      <c r="N254" s="843"/>
      <c r="O254" s="844"/>
      <c r="P254" s="843"/>
      <c r="Q254" s="844"/>
      <c r="R254" s="843"/>
      <c r="S254" s="844"/>
      <c r="T254" s="844"/>
      <c r="U254" s="844"/>
      <c r="V254" s="845">
        <f>SUM(V255:V256)</f>
        <v>0</v>
      </c>
      <c r="W254" s="845">
        <f t="shared" ref="W254:X254" si="118">SUM(W255:W256)</f>
        <v>0</v>
      </c>
      <c r="X254" s="845">
        <f t="shared" si="118"/>
        <v>0</v>
      </c>
      <c r="Y254" s="845">
        <f>SUM(V254:X254)</f>
        <v>0</v>
      </c>
      <c r="Z254" s="228">
        <f>데이터입력!AC80*데이터입력!$Y$8</f>
        <v>0</v>
      </c>
      <c r="AA254" s="154"/>
      <c r="AB254" s="150"/>
    </row>
    <row r="255" spans="1:28" hidden="1">
      <c r="A255" s="117"/>
      <c r="B255" s="157"/>
      <c r="C255" s="117"/>
      <c r="D255" s="117"/>
      <c r="E255" s="117"/>
      <c r="F255" s="846"/>
      <c r="G255" s="847"/>
      <c r="H255" s="879"/>
      <c r="I255" s="848"/>
      <c r="J255" s="848"/>
      <c r="K255" s="850"/>
      <c r="L255" s="126" t="str">
        <f>"  - "&amp;L254</f>
        <v xml:space="preserve">  - 대여용구취득비</v>
      </c>
      <c r="M255" s="210"/>
      <c r="N255" s="819">
        <f>IF(R255="",Z254,ROUNDUP((Z254-V256)/R255,-3))</f>
        <v>0</v>
      </c>
      <c r="O255" s="120" t="str">
        <f>IF(P255="","","x ")</f>
        <v/>
      </c>
      <c r="P255" s="821"/>
      <c r="Q255" s="820" t="str">
        <f>IF(R255="","","x ")</f>
        <v xml:space="preserve">x </v>
      </c>
      <c r="R255" s="822">
        <f>IF(VLOOKUP($L254,데이터입력!$R$70:$U$102,4,FALSE)="",데이터입력!$Y$8,VLOOKUP($L254,데이터입력!$R$70:$U$102,4,FALSE))</f>
        <v>12</v>
      </c>
      <c r="S255" s="820"/>
      <c r="T255" s="820" t="s">
        <v>405</v>
      </c>
      <c r="U255" s="820"/>
      <c r="V255" s="823">
        <f>IF(R255="",N255,N255*R255)</f>
        <v>0</v>
      </c>
      <c r="W255" s="825"/>
      <c r="X255" s="825"/>
      <c r="Y255" s="825"/>
    </row>
    <row r="256" spans="1:28" hidden="1">
      <c r="A256" s="117"/>
      <c r="B256" s="157"/>
      <c r="C256" s="117"/>
      <c r="D256" s="133"/>
      <c r="E256" s="133"/>
      <c r="F256" s="881"/>
      <c r="G256" s="882"/>
      <c r="H256" s="883"/>
      <c r="I256" s="884"/>
      <c r="J256" s="884"/>
      <c r="K256" s="884"/>
      <c r="L256" s="129" t="s">
        <v>442</v>
      </c>
      <c r="M256" s="136"/>
      <c r="N256" s="886">
        <v>0</v>
      </c>
      <c r="O256" s="120" t="str">
        <f>IF(P256="","","x ")</f>
        <v/>
      </c>
      <c r="P256" s="888"/>
      <c r="Q256" s="887" t="s">
        <v>404</v>
      </c>
      <c r="R256" s="889">
        <f>IF(VLOOKUP($L254,데이터입력!$R$70:$U$102,4,FALSE)="",데이터입력!$Y$8,VLOOKUP($L254,데이터입력!$R$70:$U$102,4,FALSE))</f>
        <v>12</v>
      </c>
      <c r="S256" s="887"/>
      <c r="T256" s="887" t="s">
        <v>405</v>
      </c>
      <c r="U256" s="887"/>
      <c r="V256" s="890">
        <f>IF(P256=0,N256*R256,N256*P256*R256)</f>
        <v>0</v>
      </c>
      <c r="W256" s="832"/>
      <c r="X256" s="832"/>
      <c r="Y256" s="832"/>
    </row>
    <row r="257" spans="1:28" hidden="1">
      <c r="A257" s="117"/>
      <c r="B257" s="157"/>
      <c r="C257" s="117"/>
      <c r="D257" s="107" t="s">
        <v>443</v>
      </c>
      <c r="E257" s="107">
        <v>503030103</v>
      </c>
      <c r="F257" s="839" t="s">
        <v>83</v>
      </c>
      <c r="G257" s="840" t="s">
        <v>6</v>
      </c>
      <c r="H257" s="877">
        <f>IFERROR(IF(VLOOKUP(K257,데이터입력!$C$42:$L$137,5,FALSE)&lt;1000,ROUNDUP(VLOOKUP(K257,데이터입력!$C$42:$L$137,5,FALSE)*1/1000,0),ROUND(VLOOKUP(K257,데이터입력!$C$42:$L$137,5,FALSE)*1/1000,0)),0)</f>
        <v>0</v>
      </c>
      <c r="I257" s="841">
        <f>IFERROR(IF(F257="06",IF(V257&lt;1000,ROUNDUP((V257)*1/1000,0),ROUND((V257)*1/1000,0)),IF(F257="07",IF(W257&lt;1000,ROUNDUP((W257)*1/1000,0),ROUND((W257)*1/1000,0)),IF(F257="05",IF(X257&lt;1000,ROUNDUP((X257)*1/1000,0),ROUND((X257)*1/1000,0))))),0)</f>
        <v>0</v>
      </c>
      <c r="J257" s="841">
        <f>I257-H257</f>
        <v>0</v>
      </c>
      <c r="K257" s="842" t="str">
        <f>L257&amp;"("&amp;G257&amp;")"</f>
        <v>판매용구취득비(수익사업)</v>
      </c>
      <c r="L257" s="111" t="str">
        <f>D257</f>
        <v>판매용구취득비</v>
      </c>
      <c r="M257" s="112"/>
      <c r="N257" s="843"/>
      <c r="O257" s="844"/>
      <c r="P257" s="843"/>
      <c r="Q257" s="844"/>
      <c r="R257" s="843"/>
      <c r="S257" s="844"/>
      <c r="T257" s="844"/>
      <c r="U257" s="844"/>
      <c r="V257" s="845">
        <f>SUM(V258:V259)</f>
        <v>0</v>
      </c>
      <c r="W257" s="845">
        <f t="shared" ref="W257:X257" si="119">SUM(W258:W259)</f>
        <v>0</v>
      </c>
      <c r="X257" s="845">
        <f t="shared" si="119"/>
        <v>0</v>
      </c>
      <c r="Y257" s="845">
        <f>SUM(V257:X257)</f>
        <v>0</v>
      </c>
      <c r="Z257" s="228">
        <f>데이터입력!AC83*데이터입력!$Y$8</f>
        <v>0</v>
      </c>
      <c r="AA257" s="154"/>
      <c r="AB257" s="150"/>
    </row>
    <row r="258" spans="1:28" hidden="1">
      <c r="A258" s="117"/>
      <c r="B258" s="157"/>
      <c r="C258" s="117"/>
      <c r="D258" s="117"/>
      <c r="E258" s="117"/>
      <c r="F258" s="846"/>
      <c r="G258" s="847"/>
      <c r="H258" s="879"/>
      <c r="I258" s="848"/>
      <c r="J258" s="848"/>
      <c r="K258" s="850"/>
      <c r="L258" s="126" t="str">
        <f>"  - "&amp;L257</f>
        <v xml:space="preserve">  - 판매용구취득비</v>
      </c>
      <c r="M258" s="210"/>
      <c r="N258" s="819">
        <f>IF(R258="",Z257,ROUNDUP((Z257-V259)/R258,-3))</f>
        <v>0</v>
      </c>
      <c r="O258" s="120" t="str">
        <f>IF(P258="","","x ")</f>
        <v/>
      </c>
      <c r="P258" s="821"/>
      <c r="Q258" s="820" t="str">
        <f>IF(R258="","","x ")</f>
        <v xml:space="preserve">x </v>
      </c>
      <c r="R258" s="822">
        <f>IF(VLOOKUP($L257,데이터입력!$R$70:$U$102,4,FALSE)="",데이터입력!$Y$8,VLOOKUP($L257,데이터입력!$R$70:$U$102,4,FALSE))</f>
        <v>12</v>
      </c>
      <c r="S258" s="820"/>
      <c r="T258" s="820" t="s">
        <v>405</v>
      </c>
      <c r="U258" s="820"/>
      <c r="V258" s="823">
        <f>IF(R258="",N258,N258*R258)</f>
        <v>0</v>
      </c>
      <c r="W258" s="825"/>
      <c r="X258" s="825"/>
      <c r="Y258" s="825"/>
    </row>
    <row r="259" spans="1:28" hidden="1">
      <c r="A259" s="117"/>
      <c r="B259" s="133"/>
      <c r="C259" s="133"/>
      <c r="D259" s="133"/>
      <c r="E259" s="133"/>
      <c r="F259" s="881"/>
      <c r="G259" s="882"/>
      <c r="H259" s="883"/>
      <c r="I259" s="884"/>
      <c r="J259" s="884"/>
      <c r="K259" s="885"/>
      <c r="L259" s="129" t="s">
        <v>442</v>
      </c>
      <c r="M259" s="136"/>
      <c r="N259" s="886">
        <v>0</v>
      </c>
      <c r="O259" s="120" t="str">
        <f>IF(P259="","","x ")</f>
        <v/>
      </c>
      <c r="P259" s="888"/>
      <c r="Q259" s="887" t="s">
        <v>404</v>
      </c>
      <c r="R259" s="889">
        <f>IF(VLOOKUP($L257,데이터입력!$R$70:$U$102,4,FALSE)="",데이터입력!$Y$8,VLOOKUP($L257,데이터입력!$R$70:$U$102,4,FALSE))</f>
        <v>12</v>
      </c>
      <c r="S259" s="887"/>
      <c r="T259" s="887" t="s">
        <v>405</v>
      </c>
      <c r="U259" s="887"/>
      <c r="V259" s="890">
        <f>IF(P259=0,N259*R259,N259*P259*R259)</f>
        <v>0</v>
      </c>
      <c r="W259" s="832"/>
      <c r="X259" s="832"/>
      <c r="Y259" s="832"/>
    </row>
    <row r="260" spans="1:28">
      <c r="A260" s="265" t="s">
        <v>319</v>
      </c>
      <c r="B260" s="290" t="s">
        <v>319</v>
      </c>
      <c r="C260" s="261"/>
      <c r="D260" s="262"/>
      <c r="E260" s="262"/>
      <c r="F260" s="808"/>
      <c r="G260" s="808"/>
      <c r="H260" s="250">
        <f>SUM(H261:H266)</f>
        <v>161400</v>
      </c>
      <c r="I260" s="250">
        <f>SUM(I261:I266)</f>
        <v>177000</v>
      </c>
      <c r="J260" s="250">
        <f>SUM(J261:J266)</f>
        <v>15600</v>
      </c>
      <c r="K260" s="250"/>
      <c r="L260" s="263"/>
      <c r="M260" s="263"/>
      <c r="N260" s="263"/>
      <c r="O260" s="263"/>
      <c r="P260" s="263"/>
      <c r="Q260" s="263"/>
      <c r="R260" s="263"/>
      <c r="S260" s="263"/>
      <c r="T260" s="263"/>
      <c r="U260" s="263"/>
      <c r="V260" s="252">
        <f>SUM(V261,V264)</f>
        <v>177000000</v>
      </c>
      <c r="W260" s="252">
        <f>SUM(W261,W264)</f>
        <v>0</v>
      </c>
      <c r="X260" s="252">
        <f>SUM(X261,X264)</f>
        <v>0</v>
      </c>
      <c r="Y260" s="252">
        <f t="shared" ref="Y260" si="120">SUM(V260:X260)</f>
        <v>177000000</v>
      </c>
      <c r="Z260" s="155"/>
      <c r="AA260" s="155"/>
      <c r="AB260" s="100"/>
    </row>
    <row r="261" spans="1:28">
      <c r="A261" s="117"/>
      <c r="B261" s="117"/>
      <c r="C261" s="117" t="s">
        <v>66</v>
      </c>
      <c r="D261" s="107" t="s">
        <v>66</v>
      </c>
      <c r="E261" s="107">
        <v>504010101</v>
      </c>
      <c r="F261" s="839" t="s">
        <v>83</v>
      </c>
      <c r="G261" s="840" t="s">
        <v>6</v>
      </c>
      <c r="H261" s="841">
        <f>IFERROR(IF(VLOOKUP(K261,데이터입력!$C$42:$L$137,5,FALSE)&lt;1000,ROUNDUP(VLOOKUP(K261,데이터입력!$C$42:$L$137,5,FALSE)*1/1000,0),ROUND(VLOOKUP(K261,데이터입력!$C$42:$L$137,5,FALSE)*1/1000,0)),0)</f>
        <v>0</v>
      </c>
      <c r="I261" s="841">
        <f>IFERROR(IF(F261="06",IF(V261&lt;1000,ROUNDUP((V261)*1/1000,0),ROUND((V261)*1/1000,0)),IF(F261="07",IF(W261&lt;1000,ROUNDUP((W261)*1/1000,0),ROUND((W261)*1/1000,0)),IF(F261="05",IF(X261&lt;1000,ROUNDUP((X261)*1/1000,0),ROUND((X261)*1/1000,0))))),0)</f>
        <v>0</v>
      </c>
      <c r="J261" s="841">
        <f>I261-H261</f>
        <v>0</v>
      </c>
      <c r="K261" s="842" t="str">
        <f>L261&amp;"("&amp;G261&amp;")"</f>
        <v>법인회계전출금(수익사업)</v>
      </c>
      <c r="L261" s="111" t="str">
        <f>D261</f>
        <v>법인회계전출금</v>
      </c>
      <c r="M261" s="112"/>
      <c r="N261" s="843"/>
      <c r="O261" s="844"/>
      <c r="P261" s="843"/>
      <c r="Q261" s="844"/>
      <c r="R261" s="843"/>
      <c r="S261" s="844"/>
      <c r="T261" s="844"/>
      <c r="U261" s="844"/>
      <c r="V261" s="845">
        <f>SUM(V262:V263)</f>
        <v>0</v>
      </c>
      <c r="W261" s="845">
        <f>SUM(W262:W263)</f>
        <v>0</v>
      </c>
      <c r="X261" s="845">
        <f>SUM(X262:X263)</f>
        <v>0</v>
      </c>
      <c r="Y261" s="845">
        <f>SUM(V261:X261)</f>
        <v>0</v>
      </c>
      <c r="Z261" s="228">
        <f>IFERROR(VLOOKUP($L261,데이터입력!$R$70:$U$102,3,FALSE),0)</f>
        <v>0</v>
      </c>
      <c r="AA261" s="154"/>
      <c r="AB261" s="150"/>
    </row>
    <row r="262" spans="1:28">
      <c r="A262" s="117"/>
      <c r="B262" s="117"/>
      <c r="C262" s="117"/>
      <c r="D262" s="117"/>
      <c r="E262" s="117"/>
      <c r="F262" s="846"/>
      <c r="G262" s="847"/>
      <c r="H262" s="848"/>
      <c r="I262" s="848"/>
      <c r="J262" s="848"/>
      <c r="K262" s="850"/>
      <c r="L262" s="126" t="str">
        <f>"  - "&amp;L261</f>
        <v xml:space="preserve">  - 법인회계전출금</v>
      </c>
      <c r="M262" s="210"/>
      <c r="N262" s="819">
        <f>IF(R262="",Z261,ROUNDUP((Z261-V263)/R262,-3))</f>
        <v>0</v>
      </c>
      <c r="O262" s="120" t="str">
        <f>IF(P262="","","x ")</f>
        <v/>
      </c>
      <c r="P262" s="821"/>
      <c r="Q262" s="820" t="str">
        <f>IF(R262="","","x ")</f>
        <v xml:space="preserve">x </v>
      </c>
      <c r="R262" s="822">
        <f>IF(VLOOKUP($L261,데이터입력!$R$70:$U$102,4,FALSE)="",데이터입력!$Y$8,VLOOKUP($L261,데이터입력!$R$70:$U$102,4,FALSE))</f>
        <v>12</v>
      </c>
      <c r="S262" s="820"/>
      <c r="T262" s="820" t="s">
        <v>405</v>
      </c>
      <c r="U262" s="820"/>
      <c r="V262" s="823">
        <f>IF(R262="",N262,N262*R262)</f>
        <v>0</v>
      </c>
      <c r="W262" s="825"/>
      <c r="X262" s="825"/>
      <c r="Y262" s="825"/>
      <c r="Z262" s="155"/>
      <c r="AA262" s="155"/>
      <c r="AB262" s="100"/>
    </row>
    <row r="263" spans="1:28">
      <c r="A263" s="117"/>
      <c r="B263" s="117"/>
      <c r="C263" s="117"/>
      <c r="D263" s="117"/>
      <c r="E263" s="117"/>
      <c r="F263" s="881"/>
      <c r="G263" s="882"/>
      <c r="H263" s="884"/>
      <c r="I263" s="884"/>
      <c r="J263" s="884"/>
      <c r="K263" s="885"/>
      <c r="L263" s="129" t="s">
        <v>440</v>
      </c>
      <c r="M263" s="136"/>
      <c r="N263" s="886">
        <v>0</v>
      </c>
      <c r="O263" s="120" t="str">
        <f>IF(P263="","","x ")</f>
        <v/>
      </c>
      <c r="P263" s="888"/>
      <c r="Q263" s="887" t="s">
        <v>404</v>
      </c>
      <c r="R263" s="889">
        <f>IF(VLOOKUP($L261,데이터입력!$R$70:$U$102,4,FALSE)="",데이터입력!$Y$8,VLOOKUP($L261,데이터입력!$R$70:$U$102,4,FALSE))</f>
        <v>12</v>
      </c>
      <c r="S263" s="887"/>
      <c r="T263" s="887" t="s">
        <v>405</v>
      </c>
      <c r="U263" s="887"/>
      <c r="V263" s="890">
        <f>IF(P263=0,N263*R263,N263*P263*R263)</f>
        <v>0</v>
      </c>
      <c r="W263" s="832"/>
      <c r="X263" s="832"/>
      <c r="Y263" s="832"/>
      <c r="Z263" s="155"/>
      <c r="AA263" s="155"/>
      <c r="AB263" s="100"/>
    </row>
    <row r="264" spans="1:28">
      <c r="A264" s="117"/>
      <c r="B264" s="117"/>
      <c r="C264" s="107" t="s">
        <v>67</v>
      </c>
      <c r="D264" s="107" t="s">
        <v>67</v>
      </c>
      <c r="E264" s="107">
        <v>504010201</v>
      </c>
      <c r="F264" s="839" t="s">
        <v>83</v>
      </c>
      <c r="G264" s="840" t="s">
        <v>6</v>
      </c>
      <c r="H264" s="841">
        <f>IFERROR(IF(VLOOKUP(K264,데이터입력!$C$42:$L$137,5,FALSE)&lt;1000,ROUNDUP(VLOOKUP(K264,데이터입력!$C$42:$L$137,5,FALSE)*1/1000,0),ROUND(VLOOKUP(K264,데이터입력!$C$42:$L$137,5,FALSE)*1/1000,0)),0)</f>
        <v>161400</v>
      </c>
      <c r="I264" s="841">
        <f>IFERROR(IF(F264="06",IF(V264&lt;1000,ROUNDUP((V264)*1/1000,0),ROUND((V264)*1/1000,0)),IF(F264="07",IF(W264&lt;1000,ROUNDUP((W264)*1/1000,0),ROUND((W264)*1/1000,0)),IF(F264="05",IF(X264&lt;1000,ROUNDUP((X264)*1/1000,0),ROUND((X264)*1/1000,0))))),0)</f>
        <v>177000</v>
      </c>
      <c r="J264" s="841">
        <f>I264-H264</f>
        <v>15600</v>
      </c>
      <c r="K264" s="842" t="str">
        <f>L264&amp;"("&amp;G264&amp;")"</f>
        <v>기타전출금(수익사업)</v>
      </c>
      <c r="L264" s="111" t="str">
        <f>D264</f>
        <v>기타전출금</v>
      </c>
      <c r="M264" s="112"/>
      <c r="N264" s="843"/>
      <c r="O264" s="844"/>
      <c r="P264" s="843"/>
      <c r="Q264" s="844"/>
      <c r="R264" s="843"/>
      <c r="S264" s="844"/>
      <c r="T264" s="844"/>
      <c r="U264" s="844"/>
      <c r="V264" s="845">
        <f>SUM(V265:V266)</f>
        <v>177000000</v>
      </c>
      <c r="W264" s="845">
        <f>SUM(W265:W266)</f>
        <v>0</v>
      </c>
      <c r="X264" s="845">
        <f>SUM(X265:X266)</f>
        <v>0</v>
      </c>
      <c r="Y264" s="845">
        <f>SUM(V264:X264)</f>
        <v>177000000</v>
      </c>
      <c r="Z264" s="228">
        <f>IFERROR(VLOOKUP($L264,데이터입력!$R$70:$U$102,3,FALSE),0)</f>
        <v>177000000</v>
      </c>
      <c r="AA264" s="154"/>
      <c r="AB264" s="150"/>
    </row>
    <row r="265" spans="1:28">
      <c r="A265" s="117"/>
      <c r="B265" s="117"/>
      <c r="C265" s="117"/>
      <c r="D265" s="117"/>
      <c r="E265" s="117"/>
      <c r="F265" s="846"/>
      <c r="G265" s="847"/>
      <c r="H265" s="848"/>
      <c r="I265" s="848"/>
      <c r="J265" s="848"/>
      <c r="K265" s="850"/>
      <c r="L265" s="126" t="str">
        <f>"  - "&amp;L264</f>
        <v xml:space="preserve">  - 기타전출금</v>
      </c>
      <c r="M265" s="210"/>
      <c r="N265" s="819">
        <f>IF(R265="",Z264,ROUNDUP((Z264-V266)/R265,-3))</f>
        <v>14750000</v>
      </c>
      <c r="O265" s="120" t="str">
        <f>IF(P265="","","x ")</f>
        <v/>
      </c>
      <c r="P265" s="821"/>
      <c r="Q265" s="820" t="str">
        <f>IF(R265="","","x ")</f>
        <v xml:space="preserve">x </v>
      </c>
      <c r="R265" s="822">
        <f>IF(VLOOKUP($L264,데이터입력!$R$70:$U$102,4,FALSE)="",데이터입력!$Y$8,VLOOKUP($L264,데이터입력!$R$70:$U$102,4,FALSE))</f>
        <v>12</v>
      </c>
      <c r="S265" s="820"/>
      <c r="T265" s="820" t="s">
        <v>405</v>
      </c>
      <c r="U265" s="820"/>
      <c r="V265" s="823">
        <f>IF(R265="",N265,N265*R265)</f>
        <v>177000000</v>
      </c>
      <c r="W265" s="825"/>
      <c r="X265" s="825"/>
      <c r="Y265" s="825"/>
      <c r="Z265" s="155"/>
      <c r="AA265" s="155"/>
      <c r="AB265" s="100"/>
    </row>
    <row r="266" spans="1:28">
      <c r="A266" s="117"/>
      <c r="B266" s="117"/>
      <c r="C266" s="133"/>
      <c r="D266" s="133"/>
      <c r="E266" s="133"/>
      <c r="F266" s="881"/>
      <c r="G266" s="882"/>
      <c r="H266" s="884"/>
      <c r="I266" s="884"/>
      <c r="J266" s="884"/>
      <c r="K266" s="885"/>
      <c r="L266" s="129" t="s">
        <v>440</v>
      </c>
      <c r="M266" s="136"/>
      <c r="N266" s="886">
        <v>0</v>
      </c>
      <c r="O266" s="120" t="str">
        <f>IF(P266="","","x ")</f>
        <v/>
      </c>
      <c r="P266" s="888"/>
      <c r="Q266" s="887" t="s">
        <v>404</v>
      </c>
      <c r="R266" s="889">
        <f>IF(VLOOKUP($L264,데이터입력!$R$70:$U$102,4,FALSE)="",데이터입력!$Y$8,VLOOKUP($L264,데이터입력!$R$70:$U$102,4,FALSE))</f>
        <v>12</v>
      </c>
      <c r="S266" s="887"/>
      <c r="T266" s="887" t="s">
        <v>405</v>
      </c>
      <c r="U266" s="887"/>
      <c r="V266" s="890">
        <f>IF(P266=0,N266*R266,N266*P266*R266)</f>
        <v>0</v>
      </c>
      <c r="W266" s="832"/>
      <c r="X266" s="832"/>
      <c r="Y266" s="832"/>
      <c r="Z266" s="155"/>
      <c r="AA266" s="155"/>
      <c r="AB266" s="100"/>
    </row>
    <row r="267" spans="1:28">
      <c r="A267" s="269" t="s">
        <v>68</v>
      </c>
      <c r="B267" s="268" t="s">
        <v>68</v>
      </c>
      <c r="C267" s="261"/>
      <c r="D267" s="262"/>
      <c r="E267" s="262"/>
      <c r="F267" s="808"/>
      <c r="G267" s="808"/>
      <c r="H267" s="250">
        <f>SUM(H268:H271)</f>
        <v>0</v>
      </c>
      <c r="I267" s="250">
        <f>SUM(I268:I271)</f>
        <v>0</v>
      </c>
      <c r="J267" s="250">
        <f>SUM(J268:J271)</f>
        <v>0</v>
      </c>
      <c r="K267" s="250"/>
      <c r="L267" s="263"/>
      <c r="M267" s="263"/>
      <c r="N267" s="263"/>
      <c r="O267" s="263"/>
      <c r="P267" s="263"/>
      <c r="Q267" s="263"/>
      <c r="R267" s="263"/>
      <c r="S267" s="263"/>
      <c r="T267" s="263"/>
      <c r="U267" s="263"/>
      <c r="V267" s="252">
        <f>SUM(V268)</f>
        <v>0</v>
      </c>
      <c r="W267" s="252">
        <f t="shared" ref="W267:X267" si="121">SUM(W268)</f>
        <v>0</v>
      </c>
      <c r="X267" s="252">
        <f t="shared" si="121"/>
        <v>0</v>
      </c>
      <c r="Y267" s="252">
        <f t="shared" ref="Y267" si="122">SUM(V267:X267)</f>
        <v>0</v>
      </c>
      <c r="Z267" s="155"/>
      <c r="AA267" s="155"/>
      <c r="AB267" s="100"/>
    </row>
    <row r="268" spans="1:28">
      <c r="A268" s="107"/>
      <c r="B268" s="107"/>
      <c r="C268" s="107" t="s">
        <v>68</v>
      </c>
      <c r="D268" s="107" t="s">
        <v>68</v>
      </c>
      <c r="E268" s="107">
        <v>505010101</v>
      </c>
      <c r="F268" s="839" t="s">
        <v>83</v>
      </c>
      <c r="G268" s="840" t="s">
        <v>6</v>
      </c>
      <c r="H268" s="841">
        <f>IFERROR(IF(VLOOKUP(K268,데이터입력!$C$42:$L$137,5,FALSE)&lt;1000,ROUNDUP(VLOOKUP(K268,데이터입력!$C$42:$L$137,5,FALSE)*1/1000,0),ROUND(VLOOKUP(K268,데이터입력!$C$42:$L$137,5,FALSE)*1/1000,0)),0)</f>
        <v>0</v>
      </c>
      <c r="I268" s="841">
        <f>IFERROR(IF(F268="06",IF(V268&lt;1000,ROUNDUP((V268)*1/1000,0),ROUND((V268)*1/1000,0)),IF(F268="07",IF(W268&lt;1000,ROUNDUP((W268)*1/1000,0),ROUND((W268)*1/1000,0)),IF(F268="05",IF(X268&lt;1000,ROUNDUP((X268)*1/1000,0),ROUND((X268)*1/1000,0))))),0)</f>
        <v>0</v>
      </c>
      <c r="J268" s="841">
        <f>I268-H268</f>
        <v>0</v>
      </c>
      <c r="K268" s="842" t="str">
        <f>L268&amp;"("&amp;G268&amp;")"</f>
        <v>과년도지출(수익사업)</v>
      </c>
      <c r="L268" s="111" t="str">
        <f>D268</f>
        <v>과년도지출</v>
      </c>
      <c r="M268" s="112"/>
      <c r="N268" s="843"/>
      <c r="O268" s="844"/>
      <c r="P268" s="843"/>
      <c r="Q268" s="844"/>
      <c r="R268" s="843"/>
      <c r="S268" s="844"/>
      <c r="T268" s="844"/>
      <c r="U268" s="844"/>
      <c r="V268" s="845">
        <f>SUM(V269:V271)</f>
        <v>0</v>
      </c>
      <c r="W268" s="845">
        <f>SUM(W269:W271)</f>
        <v>0</v>
      </c>
      <c r="X268" s="845">
        <f>SUM(X269:X271)</f>
        <v>0</v>
      </c>
      <c r="Y268" s="845">
        <f>SUM(V268:X268)</f>
        <v>0</v>
      </c>
      <c r="Z268" s="228">
        <f>IFERROR(VLOOKUP($L268,데이터입력!$R$70:$U$102,3,FALSE),0)</f>
        <v>0</v>
      </c>
      <c r="AA268" s="228">
        <f>IFERROR(VLOOKUP($L271,데이터입력!$R$103:$U$132,3,FALSE),0)</f>
        <v>0</v>
      </c>
      <c r="AB268" s="228"/>
    </row>
    <row r="269" spans="1:28">
      <c r="A269" s="117"/>
      <c r="B269" s="117"/>
      <c r="C269" s="117"/>
      <c r="D269" s="117"/>
      <c r="E269" s="117"/>
      <c r="F269" s="846"/>
      <c r="G269" s="847"/>
      <c r="H269" s="848"/>
      <c r="I269" s="848"/>
      <c r="J269" s="848"/>
      <c r="K269" s="850"/>
      <c r="L269" s="126" t="str">
        <f>"  - "&amp;L268</f>
        <v xml:space="preserve">  - 과년도지출</v>
      </c>
      <c r="M269" s="210"/>
      <c r="N269" s="819">
        <f>IF(R269="",Z268,ROUNDUP((Z268-V270)/R269,-3))</f>
        <v>0</v>
      </c>
      <c r="O269" s="120" t="str">
        <f>IF(P269="","","x ")</f>
        <v/>
      </c>
      <c r="P269" s="821"/>
      <c r="Q269" s="820" t="str">
        <f>IF(R269="","","x ")</f>
        <v xml:space="preserve">x </v>
      </c>
      <c r="R269" s="822">
        <f>IF(VLOOKUP($L268,데이터입력!$R$70:$U$102,4,FALSE)="",데이터입력!$Y$8,VLOOKUP($L268,데이터입력!$R$70:$U$102,4,FALSE))</f>
        <v>12</v>
      </c>
      <c r="S269" s="820"/>
      <c r="T269" s="820" t="s">
        <v>405</v>
      </c>
      <c r="U269" s="820"/>
      <c r="V269" s="823">
        <f>IF(R269="",N269,N269*R269)</f>
        <v>0</v>
      </c>
      <c r="W269" s="825"/>
      <c r="X269" s="825"/>
      <c r="Y269" s="825"/>
      <c r="Z269" s="229"/>
      <c r="AA269" s="229"/>
      <c r="AB269" s="230"/>
    </row>
    <row r="270" spans="1:28">
      <c r="A270" s="117"/>
      <c r="B270" s="117"/>
      <c r="C270" s="117"/>
      <c r="D270" s="117"/>
      <c r="E270" s="117"/>
      <c r="F270" s="846"/>
      <c r="G270" s="847"/>
      <c r="H270" s="848"/>
      <c r="I270" s="848"/>
      <c r="J270" s="848"/>
      <c r="K270" s="850"/>
      <c r="L270" s="126" t="s">
        <v>440</v>
      </c>
      <c r="M270" s="210"/>
      <c r="N270" s="819">
        <v>0</v>
      </c>
      <c r="O270" s="120" t="str">
        <f>IF(P270="","","x ")</f>
        <v/>
      </c>
      <c r="P270" s="821"/>
      <c r="Q270" s="820" t="s">
        <v>404</v>
      </c>
      <c r="R270" s="822">
        <f>IF(VLOOKUP($L268,데이터입력!$R$70:$U$102,4,FALSE)="",데이터입력!$Y$8,VLOOKUP($L268,데이터입력!$R$70:$U$102,4,FALSE))</f>
        <v>12</v>
      </c>
      <c r="S270" s="820"/>
      <c r="T270" s="820" t="s">
        <v>405</v>
      </c>
      <c r="U270" s="820"/>
      <c r="V270" s="823">
        <f>IF(P270=0,N270*R270,N270*P270*R270)</f>
        <v>0</v>
      </c>
      <c r="W270" s="825"/>
      <c r="X270" s="825"/>
      <c r="Y270" s="825"/>
      <c r="Z270" s="229"/>
      <c r="AA270" s="229"/>
      <c r="AB270" s="230"/>
    </row>
    <row r="271" spans="1:28">
      <c r="A271" s="117"/>
      <c r="B271" s="117"/>
      <c r="C271" s="133"/>
      <c r="D271" s="133"/>
      <c r="E271" s="133"/>
      <c r="F271" s="862" t="s">
        <v>418</v>
      </c>
      <c r="G271" s="863" t="s">
        <v>381</v>
      </c>
      <c r="H271" s="864">
        <f>IFERROR(IF(VLOOKUP(K271,데이터입력!$C$42:$L$137,5,FALSE)&lt;1000,ROUNDUP(VLOOKUP(K271,데이터입력!$C$42:$L$137,5,FALSE)*1/1000,0),ROUND(VLOOKUP(K271,데이터입력!$C$42:$L$137,5,FALSE)*1/1000,0)),0)</f>
        <v>0</v>
      </c>
      <c r="I271" s="864">
        <f>IFERROR(IF(F271="06",IF(V271&lt;1000,ROUNDUP((V271)*1/1000,0),ROUND((V271)*1/1000,0)),IF(F271="07",IF(W271&lt;1000,ROUNDUP((W271)*1/1000,0),ROUND((W271)*1/1000,0)),IF(F271="05",IF(X271&lt;1000,ROUNDUP((X271)*1/1000,0),ROUND((X271)*1/1000,0))))),0)</f>
        <v>0</v>
      </c>
      <c r="J271" s="865">
        <f>I271-H271</f>
        <v>0</v>
      </c>
      <c r="K271" s="232" t="str">
        <f>L271&amp;"("&amp;G271&amp;")"</f>
        <v>과년도지출(보조금)</v>
      </c>
      <c r="L271" s="241" t="str">
        <f>L268</f>
        <v>과년도지출</v>
      </c>
      <c r="M271" s="242"/>
      <c r="N271" s="866">
        <f>IF(R271="",AA268,ROUNDUP(AA268/R271,-3))</f>
        <v>0</v>
      </c>
      <c r="O271" s="1134" t="str">
        <f>IF(P271="","","x ")</f>
        <v/>
      </c>
      <c r="P271" s="868"/>
      <c r="Q271" s="867" t="s">
        <v>404</v>
      </c>
      <c r="R271" s="869">
        <f>IF(VLOOKUP($L271,데이터입력!$R$103:$U$132,4,FALSE)="",데이터입력!$Y$8,VLOOKUP($L271,데이터입력!$R$103:$U$132,4,FALSE))</f>
        <v>12</v>
      </c>
      <c r="S271" s="867"/>
      <c r="T271" s="867" t="s">
        <v>405</v>
      </c>
      <c r="U271" s="867"/>
      <c r="V271" s="871"/>
      <c r="W271" s="871">
        <f>IF(P271="",N271*R271,N271*P271*R271)</f>
        <v>0</v>
      </c>
      <c r="X271" s="872"/>
      <c r="Y271" s="872"/>
      <c r="Z271" s="230"/>
      <c r="AA271" s="230"/>
      <c r="AB271" s="230"/>
    </row>
    <row r="272" spans="1:28">
      <c r="A272" s="269" t="s">
        <v>326</v>
      </c>
      <c r="B272" s="268" t="s">
        <v>327</v>
      </c>
      <c r="C272" s="261"/>
      <c r="D272" s="262"/>
      <c r="E272" s="262"/>
      <c r="F272" s="808"/>
      <c r="G272" s="808"/>
      <c r="H272" s="250">
        <f>SUM(H273:H278)</f>
        <v>0</v>
      </c>
      <c r="I272" s="250">
        <f>SUM(I273:I278)</f>
        <v>0</v>
      </c>
      <c r="J272" s="250">
        <f>SUM(J273:J278)</f>
        <v>0</v>
      </c>
      <c r="K272" s="250"/>
      <c r="L272" s="263"/>
      <c r="M272" s="263"/>
      <c r="N272" s="263"/>
      <c r="O272" s="263"/>
      <c r="P272" s="263"/>
      <c r="Q272" s="263"/>
      <c r="R272" s="263"/>
      <c r="S272" s="263"/>
      <c r="T272" s="263"/>
      <c r="U272" s="263"/>
      <c r="V272" s="252">
        <f>SUM(V273,V276)</f>
        <v>0</v>
      </c>
      <c r="W272" s="252">
        <f>SUM(W273,W276)</f>
        <v>0</v>
      </c>
      <c r="X272" s="252">
        <f>SUM(X273,X276)</f>
        <v>0</v>
      </c>
      <c r="Y272" s="252">
        <f t="shared" ref="Y272" si="123">SUM(V272:X272)</f>
        <v>0</v>
      </c>
      <c r="Z272" s="155"/>
      <c r="AA272" s="155"/>
      <c r="AB272" s="100"/>
    </row>
    <row r="273" spans="1:28">
      <c r="A273" s="107"/>
      <c r="B273" s="107"/>
      <c r="C273" s="107" t="s">
        <v>69</v>
      </c>
      <c r="D273" s="107" t="s">
        <v>69</v>
      </c>
      <c r="E273" s="107">
        <v>506010101</v>
      </c>
      <c r="F273" s="839" t="s">
        <v>83</v>
      </c>
      <c r="G273" s="840" t="s">
        <v>6</v>
      </c>
      <c r="H273" s="841">
        <f>IFERROR(IF(VLOOKUP(K273,데이터입력!$C$42:$L$137,5,FALSE)&lt;1000,ROUNDUP(VLOOKUP(K273,데이터입력!$C$42:$L$137,5,FALSE)*1/1000,0),ROUND(VLOOKUP(K273,데이터입력!$C$42:$L$137,5,FALSE)*1/1000,0)),0)</f>
        <v>0</v>
      </c>
      <c r="I273" s="841">
        <f>IFERROR(IF(F273="06",IF(V273&lt;1000,ROUNDUP((V273)*1/1000,0),ROUND((V273)*1/1000,0)),IF(F273="07",IF(W273&lt;1000,ROUNDUP((W273)*1/1000,0),ROUND((W273)*1/1000,0)),IF(F273="05",IF(X273&lt;1000,ROUNDUP((X273)*1/1000,0),ROUND((X273)*1/1000,0))))),0)</f>
        <v>0</v>
      </c>
      <c r="J273" s="841">
        <f>I273-H273</f>
        <v>0</v>
      </c>
      <c r="K273" s="842" t="str">
        <f>L273&amp;"("&amp;G273&amp;")"</f>
        <v>원금상환금(수익사업)</v>
      </c>
      <c r="L273" s="111" t="str">
        <f>D273</f>
        <v>원금상환금</v>
      </c>
      <c r="M273" s="112"/>
      <c r="N273" s="843"/>
      <c r="O273" s="844"/>
      <c r="P273" s="843"/>
      <c r="Q273" s="844"/>
      <c r="R273" s="843"/>
      <c r="S273" s="844"/>
      <c r="T273" s="844"/>
      <c r="U273" s="844"/>
      <c r="V273" s="845">
        <f>SUM(V274:V275)</f>
        <v>0</v>
      </c>
      <c r="W273" s="845">
        <f>SUM(W274:W275)</f>
        <v>0</v>
      </c>
      <c r="X273" s="845">
        <f>SUM(X274:X275)</f>
        <v>0</v>
      </c>
      <c r="Y273" s="845">
        <f>SUM(V273:X273)</f>
        <v>0</v>
      </c>
      <c r="Z273" s="228">
        <f>IFERROR(VLOOKUP($L273,데이터입력!$R$70:$U$102,3,FALSE),0)</f>
        <v>0</v>
      </c>
      <c r="AA273" s="154"/>
      <c r="AB273" s="150"/>
    </row>
    <row r="274" spans="1:28">
      <c r="A274" s="117"/>
      <c r="B274" s="117"/>
      <c r="C274" s="117"/>
      <c r="D274" s="117"/>
      <c r="E274" s="117"/>
      <c r="F274" s="846"/>
      <c r="G274" s="847"/>
      <c r="H274" s="848"/>
      <c r="I274" s="848"/>
      <c r="J274" s="848"/>
      <c r="K274" s="850"/>
      <c r="L274" s="126" t="str">
        <f>"  - "&amp;L273</f>
        <v xml:space="preserve">  - 원금상환금</v>
      </c>
      <c r="M274" s="210"/>
      <c r="N274" s="819">
        <f>IF(R274="",Z273,ROUNDUP((Z273-V275)/R274,-3))</f>
        <v>0</v>
      </c>
      <c r="O274" s="120" t="str">
        <f>IF(P274="","","x ")</f>
        <v/>
      </c>
      <c r="P274" s="821"/>
      <c r="Q274" s="820" t="str">
        <f>IF(R274="","","x ")</f>
        <v xml:space="preserve">x </v>
      </c>
      <c r="R274" s="822">
        <f>IF(VLOOKUP($L273,데이터입력!$R$70:$U$102,4,FALSE)="",데이터입력!$Y$8,VLOOKUP($L273,데이터입력!$R$70:$U$102,4,FALSE))</f>
        <v>12</v>
      </c>
      <c r="S274" s="820"/>
      <c r="T274" s="820" t="s">
        <v>405</v>
      </c>
      <c r="U274" s="820"/>
      <c r="V274" s="823">
        <f>IF(R274="",N274,N274*R274)</f>
        <v>0</v>
      </c>
      <c r="W274" s="825"/>
      <c r="X274" s="825"/>
      <c r="Y274" s="825"/>
      <c r="Z274" s="155"/>
      <c r="AA274" s="155"/>
      <c r="AB274" s="100"/>
    </row>
    <row r="275" spans="1:28">
      <c r="A275" s="117"/>
      <c r="B275" s="117"/>
      <c r="C275" s="133"/>
      <c r="D275" s="133"/>
      <c r="E275" s="133"/>
      <c r="F275" s="881"/>
      <c r="G275" s="882"/>
      <c r="H275" s="884"/>
      <c r="I275" s="884"/>
      <c r="J275" s="884"/>
      <c r="K275" s="885"/>
      <c r="L275" s="129" t="s">
        <v>440</v>
      </c>
      <c r="M275" s="136"/>
      <c r="N275" s="886">
        <v>0</v>
      </c>
      <c r="O275" s="120" t="str">
        <f>IF(P275="","","x ")</f>
        <v/>
      </c>
      <c r="P275" s="888"/>
      <c r="Q275" s="887" t="s">
        <v>404</v>
      </c>
      <c r="R275" s="889">
        <f>IF(VLOOKUP($L273,데이터입력!$R$70:$U$102,4,FALSE)="",데이터입력!$Y$8,VLOOKUP($L273,데이터입력!$R$70:$U$102,4,FALSE))</f>
        <v>12</v>
      </c>
      <c r="S275" s="887"/>
      <c r="T275" s="887" t="s">
        <v>405</v>
      </c>
      <c r="U275" s="887"/>
      <c r="V275" s="890">
        <f>IF(P275=0,N275*R275,N275*P275*R275)</f>
        <v>0</v>
      </c>
      <c r="W275" s="832"/>
      <c r="X275" s="832"/>
      <c r="Y275" s="832"/>
      <c r="Z275" s="155"/>
      <c r="AA275" s="155"/>
      <c r="AB275" s="100"/>
    </row>
    <row r="276" spans="1:28">
      <c r="A276" s="117"/>
      <c r="B276" s="117"/>
      <c r="C276" s="107" t="s">
        <v>70</v>
      </c>
      <c r="D276" s="107" t="s">
        <v>70</v>
      </c>
      <c r="E276" s="107">
        <v>506010201</v>
      </c>
      <c r="F276" s="839" t="s">
        <v>83</v>
      </c>
      <c r="G276" s="840" t="s">
        <v>6</v>
      </c>
      <c r="H276" s="841">
        <f>IFERROR(IF(VLOOKUP(K276,데이터입력!$C$42:$L$137,5,FALSE)&lt;1000,ROUNDUP(VLOOKUP(K276,데이터입력!$C$42:$L$137,5,FALSE)*1/1000,0),ROUND(VLOOKUP(K276,데이터입력!$C$42:$L$137,5,FALSE)*1/1000,0)),0)</f>
        <v>0</v>
      </c>
      <c r="I276" s="841">
        <f>IFERROR(IF(F276="06",IF(V276&lt;1000,ROUNDUP((V276)*1/1000,0),ROUND((V276)*1/1000,0)),IF(F276="07",IF(W276&lt;1000,ROUNDUP((W276)*1/1000,0),ROUND((W276)*1/1000,0)),IF(F276="05",IF(X276&lt;1000,ROUNDUP((X276)*1/1000,0),ROUND((X276)*1/1000,0))))),0)</f>
        <v>0</v>
      </c>
      <c r="J276" s="841">
        <f>I276-H276</f>
        <v>0</v>
      </c>
      <c r="K276" s="842" t="str">
        <f>L276&amp;"("&amp;G276&amp;")"</f>
        <v>이자지불금(수익사업)</v>
      </c>
      <c r="L276" s="111" t="str">
        <f>D276</f>
        <v>이자지불금</v>
      </c>
      <c r="M276" s="112"/>
      <c r="N276" s="843"/>
      <c r="O276" s="844"/>
      <c r="P276" s="843"/>
      <c r="Q276" s="844"/>
      <c r="R276" s="843"/>
      <c r="S276" s="844"/>
      <c r="T276" s="844"/>
      <c r="U276" s="844"/>
      <c r="V276" s="845">
        <f>SUM(V277:V278)</f>
        <v>0</v>
      </c>
      <c r="W276" s="845">
        <f>SUM(W277:W278)</f>
        <v>0</v>
      </c>
      <c r="X276" s="845">
        <f>SUM(X277:X278)</f>
        <v>0</v>
      </c>
      <c r="Y276" s="845">
        <f>SUM(V276:X276)</f>
        <v>0</v>
      </c>
      <c r="Z276" s="228">
        <f>IFERROR(VLOOKUP($L276,데이터입력!$R$70:$U$102,3,FALSE),0)</f>
        <v>0</v>
      </c>
      <c r="AA276" s="154"/>
      <c r="AB276" s="150"/>
    </row>
    <row r="277" spans="1:28">
      <c r="A277" s="117"/>
      <c r="B277" s="117"/>
      <c r="C277" s="117"/>
      <c r="D277" s="117"/>
      <c r="E277" s="117"/>
      <c r="F277" s="846"/>
      <c r="G277" s="847"/>
      <c r="H277" s="848"/>
      <c r="I277" s="848"/>
      <c r="J277" s="848"/>
      <c r="K277" s="850"/>
      <c r="L277" s="126" t="str">
        <f>"  - "&amp;L276</f>
        <v xml:space="preserve">  - 이자지불금</v>
      </c>
      <c r="M277" s="210"/>
      <c r="N277" s="819">
        <f>IF(R277="",Z276,ROUNDUP((Z276-V278)/R277,-3))</f>
        <v>0</v>
      </c>
      <c r="O277" s="120" t="str">
        <f>IF(P277="","","x ")</f>
        <v/>
      </c>
      <c r="P277" s="821"/>
      <c r="Q277" s="820" t="str">
        <f>IF(R277="","","x ")</f>
        <v xml:space="preserve">x </v>
      </c>
      <c r="R277" s="822">
        <f>IF(VLOOKUP($L276,데이터입력!$R$70:$U$102,4,FALSE)="",데이터입력!$Y$8,VLOOKUP($L276,데이터입력!$R$70:$U$102,4,FALSE))</f>
        <v>12</v>
      </c>
      <c r="S277" s="820"/>
      <c r="T277" s="820" t="s">
        <v>405</v>
      </c>
      <c r="U277" s="820"/>
      <c r="V277" s="823">
        <f>IF(R277="",N277,N277*R277)</f>
        <v>0</v>
      </c>
      <c r="W277" s="825"/>
      <c r="X277" s="825"/>
      <c r="Y277" s="825"/>
      <c r="Z277" s="155"/>
      <c r="AA277" s="155"/>
      <c r="AB277" s="100"/>
    </row>
    <row r="278" spans="1:28">
      <c r="A278" s="117"/>
      <c r="B278" s="117"/>
      <c r="C278" s="133"/>
      <c r="D278" s="133"/>
      <c r="E278" s="133"/>
      <c r="F278" s="881"/>
      <c r="G278" s="882"/>
      <c r="H278" s="884"/>
      <c r="I278" s="884"/>
      <c r="J278" s="884"/>
      <c r="K278" s="885"/>
      <c r="L278" s="129" t="s">
        <v>440</v>
      </c>
      <c r="M278" s="136"/>
      <c r="N278" s="886">
        <v>0</v>
      </c>
      <c r="O278" s="120" t="str">
        <f>IF(P278="","","x ")</f>
        <v/>
      </c>
      <c r="P278" s="888"/>
      <c r="Q278" s="887" t="s">
        <v>404</v>
      </c>
      <c r="R278" s="889">
        <f>IF(VLOOKUP($L276,데이터입력!$R$70:$U$102,4,FALSE)="",데이터입력!$Y$8,VLOOKUP($L276,데이터입력!$R$70:$U$102,4,FALSE))</f>
        <v>12</v>
      </c>
      <c r="S278" s="887"/>
      <c r="T278" s="887" t="s">
        <v>405</v>
      </c>
      <c r="U278" s="887"/>
      <c r="V278" s="890">
        <f>IF(P278=0,N278*R278,N278*P278*R278)</f>
        <v>0</v>
      </c>
      <c r="W278" s="832"/>
      <c r="X278" s="832"/>
      <c r="Y278" s="832"/>
      <c r="Z278" s="155"/>
      <c r="AA278" s="155"/>
      <c r="AB278" s="100"/>
    </row>
    <row r="279" spans="1:28">
      <c r="A279" s="269" t="s">
        <v>71</v>
      </c>
      <c r="B279" s="268" t="s">
        <v>71</v>
      </c>
      <c r="C279" s="261"/>
      <c r="D279" s="262"/>
      <c r="E279" s="262"/>
      <c r="F279" s="808"/>
      <c r="G279" s="808"/>
      <c r="H279" s="250">
        <f>SUM(H280:H291)</f>
        <v>5748</v>
      </c>
      <c r="I279" s="250">
        <f>SUM(I280:I291)</f>
        <v>1087017</v>
      </c>
      <c r="J279" s="250">
        <f>SUM(J280:J291)</f>
        <v>1081269</v>
      </c>
      <c r="K279" s="250"/>
      <c r="L279" s="263"/>
      <c r="M279" s="263"/>
      <c r="N279" s="263"/>
      <c r="O279" s="263"/>
      <c r="P279" s="263"/>
      <c r="Q279" s="263"/>
      <c r="R279" s="263"/>
      <c r="S279" s="263"/>
      <c r="T279" s="263"/>
      <c r="U279" s="263"/>
      <c r="V279" s="252">
        <f>SUM(V280)</f>
        <v>1087016977</v>
      </c>
      <c r="W279" s="252">
        <f t="shared" ref="W279:X279" si="124">SUM(W280)</f>
        <v>0</v>
      </c>
      <c r="X279" s="252">
        <f t="shared" si="124"/>
        <v>0</v>
      </c>
      <c r="Y279" s="252">
        <f t="shared" ref="Y279" si="125">SUM(V279:X279)</f>
        <v>1087016977</v>
      </c>
      <c r="Z279" s="155"/>
      <c r="AA279" s="155"/>
      <c r="AB279" s="100"/>
    </row>
    <row r="280" spans="1:28">
      <c r="A280" s="107"/>
      <c r="B280" s="107"/>
      <c r="C280" s="107" t="s">
        <v>71</v>
      </c>
      <c r="D280" s="107" t="s">
        <v>71</v>
      </c>
      <c r="E280" s="107">
        <v>507010101</v>
      </c>
      <c r="F280" s="839" t="s">
        <v>83</v>
      </c>
      <c r="G280" s="840" t="s">
        <v>6</v>
      </c>
      <c r="H280" s="841">
        <f>IFERROR(IF(VLOOKUP(K280,데이터입력!$C$42:$L$137,5,FALSE)&lt;1000,ROUNDUP(VLOOKUP(K280,데이터입력!$C$42:$L$137,5,FALSE)*1/1000,0),ROUND(VLOOKUP(K280,데이터입력!$C$42:$L$137,5,FALSE)*1/1000,0)),0)</f>
        <v>5748</v>
      </c>
      <c r="I280" s="841">
        <f>IFERROR(IF(F280="06",IF(V280&lt;1000,ROUNDUP((V280)*1/1000,0),ROUND((V280)*1/1000,0)),IF(F280="07",IF(W280&lt;1000,ROUNDUP((W280)*1/1000,0),ROUND((W280)*1/1000,0)),IF(F280="05",IF(X280&lt;1000,ROUNDUP((X280)*1/1000,0),ROUND((X280)*1/1000,0))))),0)</f>
        <v>1087017</v>
      </c>
      <c r="J280" s="841">
        <f>I280-H280</f>
        <v>1081269</v>
      </c>
      <c r="K280" s="842" t="str">
        <f>L280&amp;"("&amp;G280&amp;")"</f>
        <v>잡지출(수익사업)</v>
      </c>
      <c r="L280" s="111" t="str">
        <f>D280</f>
        <v>잡지출</v>
      </c>
      <c r="M280" s="112"/>
      <c r="N280" s="843"/>
      <c r="O280" s="844"/>
      <c r="P280" s="843"/>
      <c r="Q280" s="844"/>
      <c r="R280" s="843"/>
      <c r="S280" s="844"/>
      <c r="T280" s="844"/>
      <c r="U280" s="844"/>
      <c r="V280" s="845">
        <f>SUM(V281:V291)</f>
        <v>1087016977</v>
      </c>
      <c r="W280" s="845">
        <f>SUM(W281:W291)</f>
        <v>0</v>
      </c>
      <c r="X280" s="845">
        <f>SUM(X281:X291)</f>
        <v>0</v>
      </c>
      <c r="Y280" s="845">
        <f>SUM(V280:X280)</f>
        <v>1087016977</v>
      </c>
      <c r="Z280" s="228">
        <f>IFERROR(VLOOKUP($L280,데이터입력!$R$70:$U$102,3,FALSE),0)</f>
        <v>1087016977</v>
      </c>
      <c r="AA280" s="228">
        <f>IFERROR(VLOOKUP($L291,데이터입력!$R$103:$U$132,3,FALSE),0)</f>
        <v>0</v>
      </c>
      <c r="AB280" s="228"/>
    </row>
    <row r="281" spans="1:28">
      <c r="A281" s="117"/>
      <c r="B281" s="117"/>
      <c r="C281" s="117"/>
      <c r="D281" s="117"/>
      <c r="E281" s="117"/>
      <c r="F281" s="846"/>
      <c r="G281" s="847"/>
      <c r="H281" s="848"/>
      <c r="I281" s="848"/>
      <c r="J281" s="848"/>
      <c r="K281" s="850"/>
      <c r="L281" s="126" t="str">
        <f>"  - "&amp;데이터입력!AD62</f>
        <v xml:space="preserve">  - 잡지출</v>
      </c>
      <c r="M281" s="210"/>
      <c r="N281" s="819"/>
      <c r="O281" s="820"/>
      <c r="P281" s="821"/>
      <c r="Q281" s="820"/>
      <c r="R281" s="822"/>
      <c r="S281" s="820"/>
      <c r="T281" s="820" t="s">
        <v>405</v>
      </c>
      <c r="U281" s="820"/>
      <c r="V281" s="823">
        <f>데이터입력!AE62</f>
        <v>1081016977</v>
      </c>
      <c r="W281" s="825"/>
      <c r="X281" s="825"/>
      <c r="Y281" s="825"/>
      <c r="Z281" s="155"/>
      <c r="AA281" s="155"/>
      <c r="AB281" s="100"/>
    </row>
    <row r="282" spans="1:28">
      <c r="A282" s="117"/>
      <c r="B282" s="117"/>
      <c r="C282" s="117"/>
      <c r="D282" s="117"/>
      <c r="E282" s="117"/>
      <c r="F282" s="846"/>
      <c r="G282" s="847"/>
      <c r="H282" s="848"/>
      <c r="I282" s="848"/>
      <c r="J282" s="848"/>
      <c r="K282" s="850"/>
      <c r="L282" s="126" t="str">
        <f>"  - "&amp;데이터입력!AD63</f>
        <v xml:space="preserve">  - 의료비대납외</v>
      </c>
      <c r="M282" s="210"/>
      <c r="N282" s="819">
        <f>데이터입력!AE63</f>
        <v>400000</v>
      </c>
      <c r="O282" s="120" t="str">
        <f t="shared" ref="O282:O291" si="126">IF(P282="","","x ")</f>
        <v/>
      </c>
      <c r="P282" s="821"/>
      <c r="Q282" s="820" t="str">
        <f t="shared" ref="Q282:Q290" si="127">IF(R282="","","x ")</f>
        <v xml:space="preserve">x </v>
      </c>
      <c r="R282" s="822">
        <f>IF(데이터입력!AF63="",데이터입력!$Y$8,데이터입력!AF63)</f>
        <v>12</v>
      </c>
      <c r="S282" s="820"/>
      <c r="T282" s="820" t="s">
        <v>405</v>
      </c>
      <c r="U282" s="820"/>
      <c r="V282" s="823">
        <f t="shared" ref="V282:V290" si="128">IF(P282="",N282*R282,N282*P282*R282)</f>
        <v>4800000</v>
      </c>
      <c r="W282" s="825"/>
      <c r="X282" s="825"/>
      <c r="Y282" s="825"/>
      <c r="Z282" s="155"/>
      <c r="AA282" s="155"/>
      <c r="AB282" s="100"/>
    </row>
    <row r="283" spans="1:28">
      <c r="A283" s="117"/>
      <c r="B283" s="117"/>
      <c r="C283" s="117"/>
      <c r="D283" s="117"/>
      <c r="E283" s="117"/>
      <c r="F283" s="846"/>
      <c r="G283" s="847"/>
      <c r="H283" s="848"/>
      <c r="I283" s="848"/>
      <c r="J283" s="848"/>
      <c r="K283" s="850"/>
      <c r="L283" s="126" t="str">
        <f>"  - "&amp;데이터입력!AD64</f>
        <v xml:space="preserve">  - 각종근로지원금지급</v>
      </c>
      <c r="M283" s="210"/>
      <c r="N283" s="819">
        <f>데이터입력!AE64</f>
        <v>100000</v>
      </c>
      <c r="O283" s="120" t="str">
        <f t="shared" si="126"/>
        <v/>
      </c>
      <c r="P283" s="821"/>
      <c r="Q283" s="820" t="str">
        <f t="shared" si="127"/>
        <v xml:space="preserve">x </v>
      </c>
      <c r="R283" s="822">
        <f>IF(데이터입력!AF64="",데이터입력!$Y$8,데이터입력!AF64)</f>
        <v>12</v>
      </c>
      <c r="S283" s="820"/>
      <c r="T283" s="820" t="s">
        <v>405</v>
      </c>
      <c r="U283" s="820"/>
      <c r="V283" s="823">
        <f t="shared" si="128"/>
        <v>1200000</v>
      </c>
      <c r="W283" s="825"/>
      <c r="X283" s="825"/>
      <c r="Y283" s="825"/>
      <c r="Z283" s="155"/>
      <c r="AA283" s="155"/>
      <c r="AB283" s="100"/>
    </row>
    <row r="284" spans="1:28">
      <c r="A284" s="117"/>
      <c r="B284" s="117"/>
      <c r="C284" s="117"/>
      <c r="D284" s="117"/>
      <c r="E284" s="117"/>
      <c r="F284" s="846"/>
      <c r="G284" s="847"/>
      <c r="H284" s="848"/>
      <c r="I284" s="848"/>
      <c r="J284" s="848"/>
      <c r="K284" s="850"/>
      <c r="L284" s="126" t="str">
        <f>"  - "&amp;데이터입력!AD65</f>
        <v xml:space="preserve">  - </v>
      </c>
      <c r="M284" s="210"/>
      <c r="N284" s="819">
        <f>데이터입력!AE65</f>
        <v>0</v>
      </c>
      <c r="O284" s="120" t="str">
        <f t="shared" si="126"/>
        <v/>
      </c>
      <c r="P284" s="821"/>
      <c r="Q284" s="820" t="str">
        <f t="shared" si="127"/>
        <v xml:space="preserve">x </v>
      </c>
      <c r="R284" s="822">
        <f>IF(데이터입력!AF65="",데이터입력!$Y$8,데이터입력!AF65)</f>
        <v>12</v>
      </c>
      <c r="S284" s="820"/>
      <c r="T284" s="820" t="s">
        <v>405</v>
      </c>
      <c r="U284" s="820"/>
      <c r="V284" s="823">
        <f t="shared" si="128"/>
        <v>0</v>
      </c>
      <c r="W284" s="825"/>
      <c r="X284" s="825"/>
      <c r="Y284" s="825"/>
      <c r="Z284" s="155"/>
      <c r="AA284" s="155"/>
      <c r="AB284" s="100"/>
    </row>
    <row r="285" spans="1:28">
      <c r="A285" s="117"/>
      <c r="B285" s="117"/>
      <c r="C285" s="117"/>
      <c r="D285" s="117"/>
      <c r="E285" s="117"/>
      <c r="F285" s="846"/>
      <c r="G285" s="847"/>
      <c r="H285" s="848"/>
      <c r="I285" s="848"/>
      <c r="J285" s="848"/>
      <c r="K285" s="850"/>
      <c r="L285" s="126" t="str">
        <f>"  - "&amp;데이터입력!AD66</f>
        <v xml:space="preserve">  - </v>
      </c>
      <c r="M285" s="210"/>
      <c r="N285" s="819">
        <f>데이터입력!AE66</f>
        <v>0</v>
      </c>
      <c r="O285" s="120" t="str">
        <f t="shared" si="126"/>
        <v/>
      </c>
      <c r="P285" s="821"/>
      <c r="Q285" s="820" t="str">
        <f t="shared" si="127"/>
        <v xml:space="preserve">x </v>
      </c>
      <c r="R285" s="822">
        <f>IF(데이터입력!AF66="",데이터입력!$Y$8,데이터입력!AF66)</f>
        <v>12</v>
      </c>
      <c r="S285" s="820"/>
      <c r="T285" s="820" t="s">
        <v>405</v>
      </c>
      <c r="U285" s="820"/>
      <c r="V285" s="823">
        <f t="shared" si="128"/>
        <v>0</v>
      </c>
      <c r="W285" s="825"/>
      <c r="X285" s="825"/>
      <c r="Y285" s="825"/>
      <c r="Z285" s="155"/>
      <c r="AA285" s="155"/>
      <c r="AB285" s="100"/>
    </row>
    <row r="286" spans="1:28" hidden="1">
      <c r="A286" s="117"/>
      <c r="B286" s="117"/>
      <c r="C286" s="117"/>
      <c r="D286" s="117"/>
      <c r="E286" s="117"/>
      <c r="F286" s="846"/>
      <c r="G286" s="847"/>
      <c r="H286" s="848"/>
      <c r="I286" s="848"/>
      <c r="J286" s="848"/>
      <c r="K286" s="850"/>
      <c r="L286" s="126" t="str">
        <f>"  - "&amp;데이터입력!AD67</f>
        <v xml:space="preserve">  - </v>
      </c>
      <c r="M286" s="210"/>
      <c r="N286" s="819">
        <f>데이터입력!AE67</f>
        <v>0</v>
      </c>
      <c r="O286" s="120" t="str">
        <f t="shared" si="126"/>
        <v/>
      </c>
      <c r="P286" s="821"/>
      <c r="Q286" s="820" t="str">
        <f t="shared" si="127"/>
        <v xml:space="preserve">x </v>
      </c>
      <c r="R286" s="822">
        <f>IF(데이터입력!AF67="",데이터입력!$Y$8,데이터입력!AF67)</f>
        <v>12</v>
      </c>
      <c r="S286" s="820"/>
      <c r="T286" s="820" t="s">
        <v>405</v>
      </c>
      <c r="U286" s="820"/>
      <c r="V286" s="823">
        <f t="shared" si="128"/>
        <v>0</v>
      </c>
      <c r="W286" s="825"/>
      <c r="X286" s="825"/>
      <c r="Y286" s="825"/>
      <c r="Z286" s="155"/>
      <c r="AA286" s="155"/>
      <c r="AB286" s="100"/>
    </row>
    <row r="287" spans="1:28" hidden="1">
      <c r="A287" s="117"/>
      <c r="B287" s="117"/>
      <c r="C287" s="117"/>
      <c r="D287" s="117"/>
      <c r="E287" s="117"/>
      <c r="F287" s="846"/>
      <c r="G287" s="847"/>
      <c r="H287" s="848"/>
      <c r="I287" s="848"/>
      <c r="J287" s="848"/>
      <c r="K287" s="850"/>
      <c r="L287" s="126" t="str">
        <f>"  - "&amp;데이터입력!AD68</f>
        <v xml:space="preserve">  - </v>
      </c>
      <c r="M287" s="210"/>
      <c r="N287" s="819">
        <f>데이터입력!AE68</f>
        <v>0</v>
      </c>
      <c r="O287" s="120" t="str">
        <f t="shared" si="126"/>
        <v/>
      </c>
      <c r="P287" s="821"/>
      <c r="Q287" s="820" t="str">
        <f t="shared" si="127"/>
        <v xml:space="preserve">x </v>
      </c>
      <c r="R287" s="822">
        <f>IF(데이터입력!AF68="",데이터입력!$Y$8,데이터입력!AF68)</f>
        <v>12</v>
      </c>
      <c r="S287" s="820"/>
      <c r="T287" s="820" t="s">
        <v>405</v>
      </c>
      <c r="U287" s="820"/>
      <c r="V287" s="823">
        <f t="shared" si="128"/>
        <v>0</v>
      </c>
      <c r="W287" s="825"/>
      <c r="X287" s="825"/>
      <c r="Y287" s="825"/>
      <c r="Z287" s="155"/>
      <c r="AA287" s="155"/>
      <c r="AB287" s="100"/>
    </row>
    <row r="288" spans="1:28" hidden="1">
      <c r="A288" s="117"/>
      <c r="B288" s="117"/>
      <c r="C288" s="117"/>
      <c r="D288" s="117"/>
      <c r="E288" s="117"/>
      <c r="F288" s="846"/>
      <c r="G288" s="847"/>
      <c r="H288" s="848"/>
      <c r="I288" s="848"/>
      <c r="J288" s="848"/>
      <c r="K288" s="850"/>
      <c r="L288" s="126" t="str">
        <f>"  - "&amp;데이터입력!AD69</f>
        <v xml:space="preserve">  - </v>
      </c>
      <c r="M288" s="210"/>
      <c r="N288" s="819">
        <f>데이터입력!AE69</f>
        <v>0</v>
      </c>
      <c r="O288" s="120" t="str">
        <f t="shared" si="126"/>
        <v/>
      </c>
      <c r="P288" s="821"/>
      <c r="Q288" s="820" t="str">
        <f t="shared" si="127"/>
        <v xml:space="preserve">x </v>
      </c>
      <c r="R288" s="822">
        <f>IF(데이터입력!AF69="",데이터입력!$Y$8,데이터입력!AF69)</f>
        <v>12</v>
      </c>
      <c r="S288" s="820"/>
      <c r="T288" s="820" t="s">
        <v>405</v>
      </c>
      <c r="U288" s="820"/>
      <c r="V288" s="823">
        <f t="shared" si="128"/>
        <v>0</v>
      </c>
      <c r="W288" s="825"/>
      <c r="X288" s="825"/>
      <c r="Y288" s="825"/>
      <c r="Z288" s="155"/>
      <c r="AA288" s="155"/>
      <c r="AB288" s="100"/>
    </row>
    <row r="289" spans="1:28" hidden="1">
      <c r="A289" s="117"/>
      <c r="B289" s="117"/>
      <c r="C289" s="117"/>
      <c r="D289" s="117"/>
      <c r="E289" s="117"/>
      <c r="F289" s="846"/>
      <c r="G289" s="847"/>
      <c r="H289" s="848"/>
      <c r="I289" s="848"/>
      <c r="J289" s="848"/>
      <c r="K289" s="850"/>
      <c r="L289" s="126" t="str">
        <f>"  - "&amp;데이터입력!AD70</f>
        <v xml:space="preserve">  - </v>
      </c>
      <c r="M289" s="210"/>
      <c r="N289" s="819">
        <f>데이터입력!AE70</f>
        <v>0</v>
      </c>
      <c r="O289" s="120" t="str">
        <f t="shared" si="126"/>
        <v/>
      </c>
      <c r="P289" s="821"/>
      <c r="Q289" s="820" t="str">
        <f t="shared" si="127"/>
        <v xml:space="preserve">x </v>
      </c>
      <c r="R289" s="822">
        <f>IF(데이터입력!AF70="",데이터입력!$Y$8,데이터입력!AF70)</f>
        <v>12</v>
      </c>
      <c r="S289" s="820"/>
      <c r="T289" s="820" t="s">
        <v>405</v>
      </c>
      <c r="U289" s="820"/>
      <c r="V289" s="823">
        <f t="shared" si="128"/>
        <v>0</v>
      </c>
      <c r="W289" s="825"/>
      <c r="X289" s="825"/>
      <c r="Y289" s="825"/>
      <c r="Z289" s="155"/>
      <c r="AA289" s="155"/>
      <c r="AB289" s="100"/>
    </row>
    <row r="290" spans="1:28" hidden="1">
      <c r="A290" s="117"/>
      <c r="B290" s="117"/>
      <c r="C290" s="117"/>
      <c r="D290" s="117"/>
      <c r="E290" s="117"/>
      <c r="F290" s="846"/>
      <c r="G290" s="847"/>
      <c r="H290" s="848"/>
      <c r="I290" s="848"/>
      <c r="J290" s="848"/>
      <c r="K290" s="850"/>
      <c r="L290" s="126" t="str">
        <f>"  - "&amp;데이터입력!AD71</f>
        <v xml:space="preserve">  - </v>
      </c>
      <c r="M290" s="210"/>
      <c r="N290" s="819">
        <f>데이터입력!AE71</f>
        <v>0</v>
      </c>
      <c r="O290" s="120" t="str">
        <f t="shared" si="126"/>
        <v/>
      </c>
      <c r="P290" s="821"/>
      <c r="Q290" s="820" t="str">
        <f t="shared" si="127"/>
        <v xml:space="preserve">x </v>
      </c>
      <c r="R290" s="822">
        <f>IF(데이터입력!AF71="",데이터입력!$Y$8,데이터입력!AF71)</f>
        <v>12</v>
      </c>
      <c r="S290" s="820"/>
      <c r="T290" s="820" t="s">
        <v>405</v>
      </c>
      <c r="U290" s="820"/>
      <c r="V290" s="823">
        <f t="shared" si="128"/>
        <v>0</v>
      </c>
      <c r="W290" s="825"/>
      <c r="X290" s="825"/>
      <c r="Y290" s="825"/>
      <c r="Z290" s="155"/>
      <c r="AA290" s="155"/>
      <c r="AB290" s="100"/>
    </row>
    <row r="291" spans="1:28">
      <c r="A291" s="117"/>
      <c r="B291" s="117"/>
      <c r="C291" s="133"/>
      <c r="D291" s="133"/>
      <c r="E291" s="133"/>
      <c r="F291" s="862" t="s">
        <v>622</v>
      </c>
      <c r="G291" s="863" t="s">
        <v>381</v>
      </c>
      <c r="H291" s="864">
        <f>IFERROR(IF(VLOOKUP(K291,데이터입력!$C$42:$L$137,5,FALSE)&lt;1000,ROUNDUP(VLOOKUP(K291,데이터입력!$C$42:$L$137,5,FALSE)*1/1000,0),ROUND(VLOOKUP(K291,데이터입력!$C$42:$L$137,5,FALSE)*1/1000,0)),0)</f>
        <v>0</v>
      </c>
      <c r="I291" s="864">
        <f>IFERROR(IF(F291="06",IF(V291&lt;1000,ROUNDUP((V291)*1/1000,0),ROUND((V291)*1/1000,0)),IF(F291="07",IF(W291&lt;1000,ROUNDUP((W291)*1/1000,0),ROUND((W291)*1/1000,0)),IF(F291="05",IF(X291&lt;1000,ROUNDUP((X291)*1/1000,0),ROUND((X291)*1/1000,0))))),0)</f>
        <v>0</v>
      </c>
      <c r="J291" s="865">
        <f>I291-H291</f>
        <v>0</v>
      </c>
      <c r="K291" s="232" t="str">
        <f t="shared" ref="K291" si="129">L291&amp;"("&amp;G291&amp;")"</f>
        <v>잡지출(보조금)</v>
      </c>
      <c r="L291" s="241" t="str">
        <f>L280</f>
        <v>잡지출</v>
      </c>
      <c r="M291" s="242"/>
      <c r="N291" s="866">
        <f>IF(R291="",AA280,ROUNDUP(AA280/R291,-3))</f>
        <v>0</v>
      </c>
      <c r="O291" s="1134" t="str">
        <f t="shared" si="126"/>
        <v/>
      </c>
      <c r="P291" s="868"/>
      <c r="Q291" s="867" t="s">
        <v>404</v>
      </c>
      <c r="R291" s="869">
        <f>IF(VLOOKUP($L291,데이터입력!$R$103:$U$132,4,FALSE)="",데이터입력!$Y$8,VLOOKUP($L291,데이터입력!$R$103:$U$132,4,FALSE))</f>
        <v>12</v>
      </c>
      <c r="S291" s="867"/>
      <c r="T291" s="867" t="s">
        <v>405</v>
      </c>
      <c r="U291" s="867"/>
      <c r="V291" s="872"/>
      <c r="W291" s="871">
        <f>IF(P291="",N291*R291,N291*P291*R291)</f>
        <v>0</v>
      </c>
      <c r="X291" s="872"/>
      <c r="Y291" s="871"/>
      <c r="Z291" s="100"/>
      <c r="AA291" s="100"/>
      <c r="AB291" s="100"/>
    </row>
    <row r="292" spans="1:28">
      <c r="A292" s="269" t="s">
        <v>332</v>
      </c>
      <c r="B292" s="268" t="s">
        <v>332</v>
      </c>
      <c r="C292" s="261"/>
      <c r="D292" s="262"/>
      <c r="E292" s="262"/>
      <c r="F292" s="808"/>
      <c r="G292" s="808"/>
      <c r="H292" s="250">
        <f>SUM(H293:H299)</f>
        <v>10</v>
      </c>
      <c r="I292" s="250">
        <f t="shared" ref="I292:J292" si="130">SUM(I293:I299)</f>
        <v>2010</v>
      </c>
      <c r="J292" s="250">
        <f t="shared" si="130"/>
        <v>2000</v>
      </c>
      <c r="K292" s="250"/>
      <c r="L292" s="263"/>
      <c r="M292" s="263"/>
      <c r="N292" s="263"/>
      <c r="O292" s="263"/>
      <c r="P292" s="263"/>
      <c r="Q292" s="263"/>
      <c r="R292" s="263"/>
      <c r="S292" s="263"/>
      <c r="T292" s="263"/>
      <c r="U292" s="263"/>
      <c r="V292" s="252">
        <f>SUM(V293,V296)</f>
        <v>2000000</v>
      </c>
      <c r="W292" s="252">
        <f>SUM(W293,W296)</f>
        <v>10000</v>
      </c>
      <c r="X292" s="252">
        <f>SUM(X293,X296)</f>
        <v>0</v>
      </c>
      <c r="Y292" s="252">
        <f t="shared" ref="Y292" si="131">SUM(V292:X292)</f>
        <v>2010000</v>
      </c>
      <c r="Z292" s="155"/>
      <c r="AA292" s="155"/>
      <c r="AB292" s="100"/>
    </row>
    <row r="293" spans="1:28">
      <c r="A293" s="107"/>
      <c r="B293" s="107"/>
      <c r="C293" s="107" t="s">
        <v>72</v>
      </c>
      <c r="D293" s="107" t="s">
        <v>72</v>
      </c>
      <c r="E293" s="107">
        <v>508010101</v>
      </c>
      <c r="F293" s="839" t="s">
        <v>83</v>
      </c>
      <c r="G293" s="840" t="s">
        <v>6</v>
      </c>
      <c r="H293" s="841">
        <f>IFERROR(IF(VLOOKUP(K293,데이터입력!$C$42:$L$137,5,FALSE)&lt;1000,ROUNDUP(VLOOKUP(K293,데이터입력!$C$42:$L$137,5,FALSE)*1/1000,0),ROUND(VLOOKUP(K293,데이터입력!$C$42:$L$137,5,FALSE)*1/1000,0)),0)</f>
        <v>0</v>
      </c>
      <c r="I293" s="841">
        <f>IFERROR(IF(F293="06",IF(V293&lt;1000,ROUNDUP((V293)*1/1000,0),ROUND((V293)*1/1000,0)),IF(F293="07",IF(W293&lt;1000,ROUNDUP((W293)*1/1000,0),ROUND((W293)*1/1000,0)),IF(F293="05",IF(X293&lt;1000,ROUNDUP((X293)*1/1000,0),ROUND((X293)*1/1000,0))))),0)</f>
        <v>2000</v>
      </c>
      <c r="J293" s="841">
        <f>I293-H293</f>
        <v>2000</v>
      </c>
      <c r="K293" s="842" t="str">
        <f>L293&amp;"("&amp;G293&amp;")"</f>
        <v>예비비(수익사업)</v>
      </c>
      <c r="L293" s="111" t="str">
        <f>D293</f>
        <v>예비비</v>
      </c>
      <c r="M293" s="112"/>
      <c r="N293" s="843"/>
      <c r="O293" s="844"/>
      <c r="P293" s="843"/>
      <c r="Q293" s="844"/>
      <c r="R293" s="843"/>
      <c r="S293" s="844"/>
      <c r="T293" s="844"/>
      <c r="U293" s="844"/>
      <c r="V293" s="845">
        <f>SUM(V294:V295)</f>
        <v>2000000</v>
      </c>
      <c r="W293" s="845">
        <f>SUM(W294:W295)</f>
        <v>0</v>
      </c>
      <c r="X293" s="845">
        <f>SUM(X294:X295)</f>
        <v>0</v>
      </c>
      <c r="Y293" s="845">
        <f>SUM(V293:X293)</f>
        <v>2000000</v>
      </c>
      <c r="Z293" s="228">
        <f>IFERROR(VLOOKUP($L293,데이터입력!$R$70:$U$102,3,FALSE),0)</f>
        <v>2000000</v>
      </c>
      <c r="AA293" s="154"/>
      <c r="AB293" s="150"/>
    </row>
    <row r="294" spans="1:28">
      <c r="A294" s="117"/>
      <c r="B294" s="117"/>
      <c r="C294" s="117"/>
      <c r="D294" s="117"/>
      <c r="E294" s="117"/>
      <c r="F294" s="846"/>
      <c r="G294" s="847"/>
      <c r="H294" s="848"/>
      <c r="I294" s="848"/>
      <c r="J294" s="848"/>
      <c r="K294" s="850"/>
      <c r="L294" s="126" t="str">
        <f>"  - "&amp;L293</f>
        <v xml:space="preserve">  - 예비비</v>
      </c>
      <c r="M294" s="210"/>
      <c r="N294" s="819"/>
      <c r="O294" s="820"/>
      <c r="P294" s="821"/>
      <c r="Q294" s="820"/>
      <c r="R294" s="822"/>
      <c r="S294" s="820"/>
      <c r="T294" s="820" t="s">
        <v>405</v>
      </c>
      <c r="U294" s="820"/>
      <c r="V294" s="823">
        <f>Z293-V295</f>
        <v>2000000</v>
      </c>
      <c r="W294" s="825"/>
      <c r="X294" s="825"/>
      <c r="Y294" s="825"/>
      <c r="Z294" s="155"/>
      <c r="AA294" s="155"/>
      <c r="AB294" s="100"/>
    </row>
    <row r="295" spans="1:28">
      <c r="A295" s="117"/>
      <c r="B295" s="117"/>
      <c r="C295" s="117"/>
      <c r="D295" s="117"/>
      <c r="E295" s="117"/>
      <c r="F295" s="881"/>
      <c r="G295" s="882"/>
      <c r="H295" s="884"/>
      <c r="I295" s="884"/>
      <c r="J295" s="884"/>
      <c r="K295" s="885"/>
      <c r="L295" s="129" t="s">
        <v>440</v>
      </c>
      <c r="M295" s="136"/>
      <c r="N295" s="886">
        <v>0</v>
      </c>
      <c r="O295" s="120" t="str">
        <f>IF(P295="","","x ")</f>
        <v/>
      </c>
      <c r="P295" s="888"/>
      <c r="Q295" s="887" t="s">
        <v>404</v>
      </c>
      <c r="R295" s="889">
        <f>IF(VLOOKUP($L293,데이터입력!$R$70:$U$102,4,FALSE)="",데이터입력!$Y$8,VLOOKUP($L293,데이터입력!$R$70:$U$102,4,FALSE))</f>
        <v>12</v>
      </c>
      <c r="S295" s="887"/>
      <c r="T295" s="887" t="s">
        <v>405</v>
      </c>
      <c r="U295" s="887"/>
      <c r="V295" s="890">
        <f>IF(P295=0,N295*R295,N295*P295*R295)</f>
        <v>0</v>
      </c>
      <c r="W295" s="832"/>
      <c r="X295" s="832"/>
      <c r="Y295" s="832"/>
      <c r="Z295" s="155"/>
      <c r="AA295" s="155"/>
      <c r="AB295" s="100"/>
    </row>
    <row r="296" spans="1:28">
      <c r="A296" s="117"/>
      <c r="B296" s="117"/>
      <c r="C296" s="107" t="s">
        <v>73</v>
      </c>
      <c r="D296" s="107" t="s">
        <v>73</v>
      </c>
      <c r="E296" s="107">
        <v>508010201</v>
      </c>
      <c r="F296" s="839" t="s">
        <v>622</v>
      </c>
      <c r="G296" s="840" t="s">
        <v>381</v>
      </c>
      <c r="H296" s="841">
        <f>IFERROR(IF(VLOOKUP(K296,데이터입력!$C$42:$L$137,5,FALSE)&lt;1000,ROUNDUP(VLOOKUP(K296,데이터입력!$C$42:$L$137,5,FALSE)*1/1000,0),ROUND(VLOOKUP(K296,데이터입력!$C$42:$L$137,5,FALSE)*1/1000,0)),0)</f>
        <v>10</v>
      </c>
      <c r="I296" s="841">
        <f>IFERROR(IF(F296="06",IF(V296&lt;1000,ROUNDUP((V296)*1/1000,0),ROUND((V296)*1/1000,0)),IF(F296="07",IF(W296&lt;1000,ROUNDUP((W296)*1/1000,0),ROUND((W296)*1/1000,0)),IF(F296="05",IF(X296&lt;1000,ROUNDUP((X296)*1/1000,0),ROUND((X296)*1/1000,0))))),0)</f>
        <v>10</v>
      </c>
      <c r="J296" s="841">
        <f>I296-H296</f>
        <v>0</v>
      </c>
      <c r="K296" s="842" t="str">
        <f>L296&amp;"("&amp;G296&amp;")"</f>
        <v>반환금(보조금)</v>
      </c>
      <c r="L296" s="111" t="str">
        <f>D296</f>
        <v>반환금</v>
      </c>
      <c r="M296" s="112"/>
      <c r="N296" s="843"/>
      <c r="O296" s="844"/>
      <c r="P296" s="843"/>
      <c r="Q296" s="844"/>
      <c r="R296" s="843"/>
      <c r="S296" s="844"/>
      <c r="T296" s="844"/>
      <c r="U296" s="844"/>
      <c r="V296" s="845">
        <f>SUM(V297:V299)</f>
        <v>0</v>
      </c>
      <c r="W296" s="845">
        <f>SUM(W297:W299)</f>
        <v>10000</v>
      </c>
      <c r="X296" s="845">
        <f>SUM(X297:X299)</f>
        <v>0</v>
      </c>
      <c r="Y296" s="845">
        <f>SUM(V296:X296)</f>
        <v>10000</v>
      </c>
      <c r="Z296" s="228">
        <f>IFERROR(VLOOKUP($L299,데이터입력!$R$70:$U$102,3,FALSE),0)</f>
        <v>0</v>
      </c>
      <c r="AA296" s="228">
        <f>IFERROR(VLOOKUP($L296,데이터입력!$R$103:$U$132,3,FALSE),0)</f>
        <v>10000</v>
      </c>
      <c r="AB296" s="228"/>
    </row>
    <row r="297" spans="1:28">
      <c r="A297" s="117"/>
      <c r="B297" s="117"/>
      <c r="C297" s="117"/>
      <c r="D297" s="117"/>
      <c r="E297" s="117"/>
      <c r="F297" s="846"/>
      <c r="G297" s="847"/>
      <c r="H297" s="848"/>
      <c r="I297" s="848"/>
      <c r="J297" s="848"/>
      <c r="K297" s="850"/>
      <c r="L297" s="126" t="str">
        <f>"  - "&amp;L296</f>
        <v xml:space="preserve">  - 반환금</v>
      </c>
      <c r="M297" s="210"/>
      <c r="N297" s="819"/>
      <c r="O297" s="820"/>
      <c r="P297" s="821"/>
      <c r="Q297" s="820"/>
      <c r="R297" s="821"/>
      <c r="S297" s="820"/>
      <c r="T297" s="820" t="s">
        <v>405</v>
      </c>
      <c r="U297" s="820"/>
      <c r="V297" s="825"/>
      <c r="W297" s="823">
        <f>AA296-W298</f>
        <v>10000</v>
      </c>
      <c r="X297" s="825"/>
      <c r="Y297" s="825"/>
      <c r="Z297" s="155"/>
      <c r="AA297" s="155"/>
      <c r="AB297" s="100"/>
    </row>
    <row r="298" spans="1:28">
      <c r="A298" s="117"/>
      <c r="B298" s="117"/>
      <c r="C298" s="117"/>
      <c r="D298" s="117"/>
      <c r="E298" s="117"/>
      <c r="F298" s="846"/>
      <c r="G298" s="847"/>
      <c r="H298" s="848"/>
      <c r="I298" s="848"/>
      <c r="J298" s="848"/>
      <c r="K298" s="850"/>
      <c r="L298" s="126" t="str">
        <f>"  - "&amp;L296&amp;"(전년도이월금,예금이자외)"</f>
        <v xml:space="preserve">  - 반환금(전년도이월금,예금이자외)</v>
      </c>
      <c r="M298" s="210"/>
      <c r="N298" s="819"/>
      <c r="O298" s="820"/>
      <c r="P298" s="821"/>
      <c r="Q298" s="820"/>
      <c r="R298" s="821"/>
      <c r="S298" s="820"/>
      <c r="T298" s="820" t="s">
        <v>405</v>
      </c>
      <c r="U298" s="820"/>
      <c r="V298" s="823"/>
      <c r="W298" s="823">
        <f>데이터입력!AB22</f>
        <v>0</v>
      </c>
      <c r="X298" s="825"/>
      <c r="Y298" s="825"/>
      <c r="Z298" s="155"/>
      <c r="AA298" s="155"/>
      <c r="AB298" s="100"/>
    </row>
    <row r="299" spans="1:28">
      <c r="A299" s="117"/>
      <c r="B299" s="117"/>
      <c r="C299" s="133"/>
      <c r="D299" s="133"/>
      <c r="E299" s="133"/>
      <c r="F299" s="862" t="s">
        <v>623</v>
      </c>
      <c r="G299" s="863" t="s">
        <v>380</v>
      </c>
      <c r="H299" s="864">
        <f>IFERROR(IF(VLOOKUP(K299,데이터입력!$C$42:$L$137,5,FALSE)&lt;1000,ROUNDUP(VLOOKUP(K299,데이터입력!$C$42:$L$137,5,FALSE)*1/1000,0),ROUND(VLOOKUP(K299,데이터입력!$C$42:$L$137,5,FALSE)*1/1000,0)),0)</f>
        <v>0</v>
      </c>
      <c r="I299" s="864">
        <f>IFERROR(IF(F299="06",IF(V299&lt;1000,ROUNDUP((V299)*1/1000,0),ROUND((V299)*1/1000,0)),IF(F299="07",IF(W299&lt;1000,ROUNDUP((W299)*1/1000,0),ROUND((W299)*1/1000,0)),IF(F299="05",IF(X299&lt;1000,ROUNDUP((X299)*1/1000,0),ROUND((X299)*1/1000,0))))),0)</f>
        <v>0</v>
      </c>
      <c r="J299" s="865">
        <f>I299-H299</f>
        <v>0</v>
      </c>
      <c r="K299" s="232" t="str">
        <f t="shared" ref="K299" si="132">L299&amp;"("&amp;G299&amp;")"</f>
        <v>반환금(수익사업)</v>
      </c>
      <c r="L299" s="241" t="str">
        <f>L296</f>
        <v>반환금</v>
      </c>
      <c r="M299" s="242"/>
      <c r="N299" s="866"/>
      <c r="O299" s="867"/>
      <c r="P299" s="868"/>
      <c r="Q299" s="867"/>
      <c r="R299" s="869"/>
      <c r="S299" s="867"/>
      <c r="T299" s="867" t="s">
        <v>405</v>
      </c>
      <c r="U299" s="867"/>
      <c r="V299" s="871">
        <f>Z296</f>
        <v>0</v>
      </c>
      <c r="W299" s="872"/>
      <c r="X299" s="871"/>
      <c r="Y299" s="871"/>
      <c r="Z299" s="100"/>
      <c r="AA299" s="100"/>
      <c r="AB299" s="100"/>
    </row>
    <row r="300" spans="1:28" ht="24">
      <c r="A300" s="269" t="s">
        <v>335</v>
      </c>
      <c r="B300" s="268" t="s">
        <v>445</v>
      </c>
      <c r="C300" s="261"/>
      <c r="D300" s="262"/>
      <c r="E300" s="262"/>
      <c r="F300" s="808"/>
      <c r="G300" s="808"/>
      <c r="H300" s="250">
        <f>SUM(H301:H306)</f>
        <v>0</v>
      </c>
      <c r="I300" s="250">
        <f>SUM(I301:I306)</f>
        <v>0</v>
      </c>
      <c r="J300" s="250">
        <f>SUM(J301:J306)</f>
        <v>0</v>
      </c>
      <c r="K300" s="250"/>
      <c r="L300" s="263"/>
      <c r="M300" s="263"/>
      <c r="N300" s="263"/>
      <c r="O300" s="263"/>
      <c r="P300" s="263"/>
      <c r="Q300" s="263"/>
      <c r="R300" s="263"/>
      <c r="S300" s="263"/>
      <c r="T300" s="263"/>
      <c r="U300" s="263"/>
      <c r="V300" s="252">
        <f>SUM(V301,V304)</f>
        <v>0</v>
      </c>
      <c r="W300" s="252">
        <f t="shared" ref="W300:X300" si="133">SUM(W301,W304)</f>
        <v>0</v>
      </c>
      <c r="X300" s="252">
        <f t="shared" si="133"/>
        <v>0</v>
      </c>
      <c r="Y300" s="252">
        <f t="shared" ref="Y300" si="134">SUM(V300:X300)</f>
        <v>0</v>
      </c>
      <c r="Z300" s="155"/>
      <c r="AA300" s="155"/>
      <c r="AB300" s="100"/>
    </row>
    <row r="301" spans="1:28">
      <c r="A301" s="107"/>
      <c r="B301" s="107"/>
      <c r="C301" s="107" t="s">
        <v>3</v>
      </c>
      <c r="D301" s="107" t="s">
        <v>3</v>
      </c>
      <c r="E301" s="107">
        <v>509010101</v>
      </c>
      <c r="F301" s="839" t="s">
        <v>83</v>
      </c>
      <c r="G301" s="840" t="s">
        <v>6</v>
      </c>
      <c r="H301" s="841">
        <f>IFERROR(IF(VLOOKUP(K301,데이터입력!$C$42:$L$137,5,FALSE)&lt;1000,ROUNDUP(VLOOKUP(K301,데이터입력!$C$42:$L$137,5,FALSE)*1/1000,0),ROUND(VLOOKUP(K301,데이터입력!$C$42:$L$137,5,FALSE)*1/1000,0)),0)</f>
        <v>0</v>
      </c>
      <c r="I301" s="841">
        <f>IFERROR(IF(F301="06",IF(V301&lt;1000,ROUNDUP((V301)*1/1000,0),ROUND((V301)*1/1000,0)),IF(F301="07",IF(W301&lt;1000,ROUNDUP((W301)*1/1000,0),ROUND((W301)*1/1000,0)),IF(F301="05",IF(X301&lt;1000,ROUNDUP((X301)*1/1000,0),ROUND((X301)*1/1000,0))))),0)</f>
        <v>0</v>
      </c>
      <c r="J301" s="841">
        <f>I301-H301</f>
        <v>0</v>
      </c>
      <c r="K301" s="842" t="str">
        <f>L301&amp;"("&amp;G301&amp;")"</f>
        <v>운영충당적립금(수익사업)</v>
      </c>
      <c r="L301" s="111" t="str">
        <f>D301</f>
        <v>운영충당적립금</v>
      </c>
      <c r="M301" s="112"/>
      <c r="N301" s="843"/>
      <c r="O301" s="844"/>
      <c r="P301" s="843"/>
      <c r="Q301" s="844"/>
      <c r="R301" s="843"/>
      <c r="S301" s="844"/>
      <c r="T301" s="844"/>
      <c r="U301" s="844"/>
      <c r="V301" s="845">
        <f>SUM(V302:V303)</f>
        <v>0</v>
      </c>
      <c r="W301" s="845">
        <f>SUM(W302:W303)</f>
        <v>0</v>
      </c>
      <c r="X301" s="845">
        <f>SUM(X302:X303)</f>
        <v>0</v>
      </c>
      <c r="Y301" s="845">
        <f>SUM(V301:X301)</f>
        <v>0</v>
      </c>
      <c r="Z301" s="228">
        <f>IFERROR(VLOOKUP($L301,데이터입력!$R$70:$U$102,3,FALSE),0)</f>
        <v>0</v>
      </c>
      <c r="AA301" s="154"/>
      <c r="AB301" s="150"/>
    </row>
    <row r="302" spans="1:28">
      <c r="A302" s="117"/>
      <c r="B302" s="117"/>
      <c r="C302" s="117"/>
      <c r="D302" s="117"/>
      <c r="E302" s="117"/>
      <c r="F302" s="846"/>
      <c r="G302" s="847"/>
      <c r="H302" s="848"/>
      <c r="I302" s="848"/>
      <c r="J302" s="848"/>
      <c r="K302" s="850"/>
      <c r="L302" s="126" t="str">
        <f>"  - "&amp;L301</f>
        <v xml:space="preserve">  - 운영충당적립금</v>
      </c>
      <c r="M302" s="210"/>
      <c r="N302" s="819">
        <f>IF(R302="",Z301,ROUNDUP((Z301-V303)/R302,-3))</f>
        <v>0</v>
      </c>
      <c r="O302" s="120" t="str">
        <f>IF(P302="","","x ")</f>
        <v/>
      </c>
      <c r="P302" s="821"/>
      <c r="Q302" s="820" t="str">
        <f>IF(R302="","","x ")</f>
        <v xml:space="preserve">x </v>
      </c>
      <c r="R302" s="822">
        <f>IF(VLOOKUP($L301,데이터입력!$R$70:$U$102,4,FALSE)="",데이터입력!$Y$8,VLOOKUP($L301,데이터입력!$R$70:$U$102,4,FALSE))</f>
        <v>12</v>
      </c>
      <c r="S302" s="820"/>
      <c r="T302" s="820" t="s">
        <v>405</v>
      </c>
      <c r="U302" s="820"/>
      <c r="V302" s="823">
        <f>IF(R302="",N302,N302*R302)</f>
        <v>0</v>
      </c>
      <c r="W302" s="825"/>
      <c r="X302" s="825"/>
      <c r="Y302" s="825"/>
      <c r="Z302" s="155"/>
      <c r="AA302" s="155"/>
      <c r="AB302" s="100"/>
    </row>
    <row r="303" spans="1:28" hidden="1">
      <c r="A303" s="117"/>
      <c r="B303" s="117"/>
      <c r="C303" s="117"/>
      <c r="D303" s="117"/>
      <c r="E303" s="117"/>
      <c r="F303" s="881"/>
      <c r="G303" s="882"/>
      <c r="H303" s="884"/>
      <c r="I303" s="884"/>
      <c r="J303" s="884"/>
      <c r="K303" s="885"/>
      <c r="L303" s="129" t="s">
        <v>440</v>
      </c>
      <c r="M303" s="136"/>
      <c r="N303" s="886">
        <v>0</v>
      </c>
      <c r="O303" s="887" t="s">
        <v>404</v>
      </c>
      <c r="P303" s="888"/>
      <c r="Q303" s="887" t="s">
        <v>404</v>
      </c>
      <c r="R303" s="889">
        <f>IF(VLOOKUP($L301,데이터입력!$R$70:$U$102,4,FALSE)="",데이터입력!$Y$8,VLOOKUP($L301,데이터입력!$R$70:$U$102,4,FALSE))</f>
        <v>12</v>
      </c>
      <c r="S303" s="887"/>
      <c r="T303" s="887" t="s">
        <v>405</v>
      </c>
      <c r="U303" s="887"/>
      <c r="V303" s="890">
        <f>IF(P303=0,N303*R303,N303*P303*R303)</f>
        <v>0</v>
      </c>
      <c r="W303" s="832"/>
      <c r="X303" s="832"/>
      <c r="Y303" s="832"/>
      <c r="Z303" s="155"/>
      <c r="AA303" s="155"/>
      <c r="AB303" s="100"/>
    </row>
    <row r="304" spans="1:28" ht="24">
      <c r="A304" s="117"/>
      <c r="B304" s="117"/>
      <c r="C304" s="235" t="s">
        <v>74</v>
      </c>
      <c r="D304" s="235" t="s">
        <v>74</v>
      </c>
      <c r="E304" s="107">
        <v>509010201</v>
      </c>
      <c r="F304" s="839" t="s">
        <v>83</v>
      </c>
      <c r="G304" s="840" t="s">
        <v>6</v>
      </c>
      <c r="H304" s="841">
        <f>IFERROR(IF(VLOOKUP(K304,데이터입력!$C$42:$L$137,5,FALSE)&lt;1000,ROUNDUP(VLOOKUP(K304,데이터입력!$C$42:$L$137,5,FALSE)*1/1000,0),ROUND(VLOOKUP(K304,데이터입력!$C$42:$L$137,5,FALSE)*1/1000,0)),0)</f>
        <v>0</v>
      </c>
      <c r="I304" s="841">
        <f>IFERROR(IF(F304="06",IF(V304&lt;1000,ROUNDUP((V304)*1/1000,0),ROUND((V304)*1/1000,0)),IF(F304="07",IF(W304&lt;1000,ROUNDUP((W304)*1/1000,0),ROUND((W304)*1/1000,0)),IF(F304="05",IF(X304&lt;1000,ROUNDUP((X304)*1/1000,0),ROUND((X304)*1/1000,0))))),0)</f>
        <v>0</v>
      </c>
      <c r="J304" s="841">
        <f>I304-H304</f>
        <v>0</v>
      </c>
      <c r="K304" s="842" t="str">
        <f>L304&amp;"("&amp;G304&amp;")"</f>
        <v>시설환경 개선준비금(수익사업)</v>
      </c>
      <c r="L304" s="111" t="str">
        <f>D304</f>
        <v>시설환경 개선준비금</v>
      </c>
      <c r="M304" s="112"/>
      <c r="N304" s="843"/>
      <c r="O304" s="844"/>
      <c r="P304" s="843"/>
      <c r="Q304" s="844"/>
      <c r="R304" s="843"/>
      <c r="S304" s="844"/>
      <c r="T304" s="844"/>
      <c r="U304" s="844"/>
      <c r="V304" s="845">
        <f>SUM(V305:V306)</f>
        <v>0</v>
      </c>
      <c r="W304" s="845">
        <f>SUM(W305:W306)</f>
        <v>0</v>
      </c>
      <c r="X304" s="845">
        <f>SUM(X305:X306)</f>
        <v>0</v>
      </c>
      <c r="Y304" s="845">
        <f>SUM(V304:X304)</f>
        <v>0</v>
      </c>
      <c r="Z304" s="228">
        <f>IFERROR(VLOOKUP($L304,데이터입력!$R$70:$U$102,3,FALSE),0)</f>
        <v>0</v>
      </c>
      <c r="AA304" s="154"/>
      <c r="AB304" s="150"/>
    </row>
    <row r="305" spans="1:28">
      <c r="A305" s="117"/>
      <c r="B305" s="117"/>
      <c r="C305" s="236"/>
      <c r="D305" s="236"/>
      <c r="E305" s="117"/>
      <c r="F305" s="846"/>
      <c r="G305" s="847"/>
      <c r="H305" s="848"/>
      <c r="I305" s="848"/>
      <c r="J305" s="848"/>
      <c r="K305" s="850"/>
      <c r="L305" s="126" t="str">
        <f>"  - "&amp;L304</f>
        <v xml:space="preserve">  - 시설환경 개선준비금</v>
      </c>
      <c r="M305" s="210"/>
      <c r="N305" s="819">
        <f>IF(R305="",Z304,ROUNDUP((Z304-V306)/R305,-3))</f>
        <v>0</v>
      </c>
      <c r="O305" s="120" t="str">
        <f>IF(P305="","","x ")</f>
        <v/>
      </c>
      <c r="P305" s="821"/>
      <c r="Q305" s="820" t="str">
        <f>IF(R305="","","x ")</f>
        <v xml:space="preserve">x </v>
      </c>
      <c r="R305" s="822">
        <f>IF(VLOOKUP($L304,데이터입력!$R$70:$U$102,4,FALSE)="",데이터입력!$Y$8,VLOOKUP($L304,데이터입력!$R$70:$U$102,4,FALSE))</f>
        <v>12</v>
      </c>
      <c r="S305" s="820"/>
      <c r="T305" s="820" t="s">
        <v>405</v>
      </c>
      <c r="U305" s="820"/>
      <c r="V305" s="823">
        <f>IF(R305="",N305,N305*R305)</f>
        <v>0</v>
      </c>
      <c r="W305" s="825"/>
      <c r="X305" s="825"/>
      <c r="Y305" s="825"/>
      <c r="Z305" s="155"/>
      <c r="AA305" s="155"/>
      <c r="AB305" s="100"/>
    </row>
    <row r="306" spans="1:28" hidden="1">
      <c r="A306" s="117"/>
      <c r="B306" s="117"/>
      <c r="C306" s="237"/>
      <c r="D306" s="237"/>
      <c r="E306" s="133"/>
      <c r="F306" s="881"/>
      <c r="G306" s="882"/>
      <c r="H306" s="884"/>
      <c r="I306" s="884"/>
      <c r="J306" s="884"/>
      <c r="K306" s="885"/>
      <c r="L306" s="129" t="s">
        <v>440</v>
      </c>
      <c r="M306" s="136"/>
      <c r="N306" s="886">
        <v>0</v>
      </c>
      <c r="O306" s="887" t="s">
        <v>404</v>
      </c>
      <c r="P306" s="888"/>
      <c r="Q306" s="887" t="s">
        <v>404</v>
      </c>
      <c r="R306" s="889">
        <f>IF(VLOOKUP($L304,데이터입력!$R$70:$U$102,4,FALSE)="",데이터입력!$Y$8,VLOOKUP($L304,데이터입력!$R$70:$U$102,4,FALSE))</f>
        <v>12</v>
      </c>
      <c r="S306" s="887"/>
      <c r="T306" s="887" t="s">
        <v>405</v>
      </c>
      <c r="U306" s="887"/>
      <c r="V306" s="890">
        <f>IF(P306=0,N306*R306,N306*P306*R306)</f>
        <v>0</v>
      </c>
      <c r="W306" s="832"/>
      <c r="X306" s="832"/>
      <c r="Y306" s="832"/>
      <c r="Z306" s="155"/>
      <c r="AA306" s="155"/>
      <c r="AB306" s="100"/>
    </row>
    <row r="307" spans="1:28" ht="21" customHeight="1">
      <c r="A307" s="1664" t="s">
        <v>446</v>
      </c>
      <c r="B307" s="1665"/>
      <c r="C307" s="1665"/>
      <c r="D307" s="1665"/>
      <c r="E307" s="1665"/>
      <c r="F307" s="1665"/>
      <c r="G307" s="1666"/>
      <c r="H307" s="141">
        <f>SUM(H300,H292,H279,H272,H267,H260,H193,H169,H4)</f>
        <v>1760404</v>
      </c>
      <c r="I307" s="141">
        <f>SUM(I300,I292,I279,I272,I267,I260,I193,I169,I4)</f>
        <v>1835979</v>
      </c>
      <c r="J307" s="141">
        <f>SUM(J300,J292,J279,J272,J267,J260,J193,J169,J4)</f>
        <v>75575</v>
      </c>
      <c r="K307" s="208"/>
      <c r="L307" s="233"/>
      <c r="M307" s="234"/>
      <c r="N307" s="274" t="s">
        <v>423</v>
      </c>
      <c r="O307" s="275"/>
      <c r="P307" s="275"/>
      <c r="Q307" s="275"/>
      <c r="R307" s="276"/>
      <c r="S307" s="275"/>
      <c r="T307" s="275"/>
      <c r="U307" s="275"/>
      <c r="V307" s="277" t="e">
        <f>SUM(V300,V292,V279,V272,V267,V260,V193,V169,V4)</f>
        <v>#REF!</v>
      </c>
      <c r="W307" s="277">
        <f>SUM(W300,W292,W279,W272,W267,W260,W193,W169,W4)</f>
        <v>59290000</v>
      </c>
      <c r="X307" s="277">
        <f>SUM(X300,X292,X279,X272,X267,X260,X193,X169,X4)</f>
        <v>0</v>
      </c>
      <c r="Y307" s="277" t="e">
        <f>SUM(Y300,Y292,Y279,Y272,Y267,Y260,Y193,Y169,Y4)</f>
        <v>#REF!</v>
      </c>
      <c r="Z307" s="100"/>
      <c r="AA307" s="100"/>
      <c r="AB307" s="100"/>
    </row>
    <row r="308" spans="1:28">
      <c r="Q308" s="1663" t="str">
        <f>표지!B9</f>
        <v>(주)실버랜드</v>
      </c>
      <c r="R308" s="1663"/>
      <c r="S308" s="1663"/>
      <c r="T308" s="1663"/>
      <c r="U308" s="1663"/>
      <c r="V308" s="1663"/>
      <c r="W308" s="1663"/>
      <c r="X308" s="1663"/>
      <c r="Y308" s="1663"/>
    </row>
  </sheetData>
  <sheetProtection algorithmName="SHA-512" hashValue="vu7fHNNNiaCjyJH3cvXeZ3OAWMUkW7RECTQt4zfwEemJR76rqVK36GMmU3kcNsyDhRW+5loH9JtcPGYt5xnztw==" saltValue="cJtZgZht7drA2aFD3OaUmQ==" spinCount="100000" sheet="1" objects="1" scenarios="1"/>
  <mergeCells count="9">
    <mergeCell ref="A1:Y1"/>
    <mergeCell ref="R2:Y2"/>
    <mergeCell ref="Q308:Y308"/>
    <mergeCell ref="D65:D70"/>
    <mergeCell ref="A307:G307"/>
    <mergeCell ref="F3:G3"/>
    <mergeCell ref="L3:U3"/>
    <mergeCell ref="C45:D45"/>
    <mergeCell ref="D57:D62"/>
  </mergeCells>
  <phoneticPr fontId="10" type="noConversion"/>
  <pageMargins left="0.25" right="0.25" top="0.75" bottom="0.75" header="0.3" footer="0.3"/>
  <pageSetup paperSize="9" scale="56" fitToHeight="0" orientation="landscape" r:id="rId1"/>
  <rowBreaks count="5" manualBreakCount="5">
    <brk id="44" max="24" man="1"/>
    <brk id="113" max="24" man="1"/>
    <brk id="168" max="24" man="1"/>
    <brk id="239" max="24" man="1"/>
    <brk id="299" max="24" man="1"/>
  </rowBreaks>
  <ignoredErrors>
    <ignoredError sqref="F11:J20 F209:G306 F112:G197 F200:G201 F204:G205 F33:G76 F82:G86 F92:G95 F101:G106 F21:G25 F27:G31" numberStoredAsText="1"/>
    <ignoredError sqref="H209:J306 H112:J195 H200:J201 H204:J205 H33:J76 H82:J86 H92:J95 H101:J106 H197:J197 J196 H21:J25 H27:J31" numberStoredAsText="1" formula="1"/>
    <ignoredError sqref="N60:N68 V132 V199 L25:L32" 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35E4D-3199-442C-AA55-C025390329EB}">
  <sheetPr>
    <tabColor theme="9"/>
  </sheetPr>
  <dimension ref="A1:J173"/>
  <sheetViews>
    <sheetView view="pageBreakPreview" zoomScaleNormal="100" zoomScaleSheetLayoutView="100" workbookViewId="0">
      <selection activeCell="E3" sqref="E3:F3"/>
    </sheetView>
  </sheetViews>
  <sheetFormatPr defaultRowHeight="16.5"/>
  <cols>
    <col min="1" max="1" width="6.625" customWidth="1"/>
    <col min="2" max="2" width="23.625" customWidth="1"/>
    <col min="3" max="3" width="16.875" customWidth="1"/>
    <col min="4" max="4" width="8" customWidth="1"/>
    <col min="7" max="7" width="11.75" customWidth="1"/>
    <col min="10" max="10" width="12.25" customWidth="1"/>
  </cols>
  <sheetData>
    <row r="1" spans="1:10" ht="16.5" customHeight="1" thickBot="1">
      <c r="A1" s="1679" t="str">
        <f>표지!$B$9&amp;"- 인건비,생계비 현황"</f>
        <v>(주)실버랜드- 인건비,생계비 현황</v>
      </c>
      <c r="B1" s="1679" t="s">
        <v>248</v>
      </c>
      <c r="C1" s="1679"/>
      <c r="D1" s="1679"/>
      <c r="E1" s="1679"/>
      <c r="F1" s="1679"/>
      <c r="G1" s="1679"/>
    </row>
    <row r="2" spans="1:10" ht="17.25" customHeight="1" thickBot="1">
      <c r="A2" s="1679"/>
      <c r="B2" s="1679"/>
      <c r="C2" s="1679"/>
      <c r="D2" s="1679"/>
      <c r="E2" s="1679"/>
      <c r="F2" s="1679"/>
      <c r="G2" s="1679"/>
      <c r="I2" s="1670" t="s">
        <v>775</v>
      </c>
      <c r="J2" s="1671"/>
    </row>
    <row r="3" spans="1:10" ht="17.25" thickBot="1">
      <c r="A3" s="7"/>
      <c r="B3" s="1680" t="str">
        <f>"인건비 현황 ( "&amp;IF(데이터입력!AE2="",데이터입력!$Y$1-1&amp;"년도 "&amp;데이터입력!$Y$9&amp;"월 현재 )",데이터입력!$Y$1&amp;"년도 "&amp;데이터입력!$Y$9&amp;"월 현재 )")</f>
        <v>인건비 현황 ( 2025년도 12월 현재 )</v>
      </c>
      <c r="C3" s="1681"/>
      <c r="D3" s="8"/>
      <c r="E3" s="1682" t="str">
        <f>IF($I$4=TRUE,$J$4,$J$3)</f>
        <v>2025년도</v>
      </c>
      <c r="F3" s="1683"/>
      <c r="G3" s="8"/>
      <c r="I3" s="1178" t="b">
        <v>1</v>
      </c>
      <c r="J3" s="1162" t="str">
        <f>IF(데이터입력!AE2="",데이터입력!$Y$1-1&amp;"년도",데이터입력!$Y$1&amp;"년도")</f>
        <v>2025년도</v>
      </c>
    </row>
    <row r="4" spans="1:10" ht="17.25" thickBot="1">
      <c r="A4" s="7"/>
      <c r="B4" s="280" t="s">
        <v>1</v>
      </c>
      <c r="C4" s="281" t="s">
        <v>251</v>
      </c>
      <c r="D4" s="8"/>
      <c r="E4" s="1684" t="s">
        <v>230</v>
      </c>
      <c r="F4" s="1685"/>
      <c r="G4" s="8"/>
      <c r="I4" s="1179" t="b">
        <v>0</v>
      </c>
      <c r="J4" s="1177" t="s">
        <v>830</v>
      </c>
    </row>
    <row r="5" spans="1:10">
      <c r="A5" s="13"/>
      <c r="B5" s="282" t="s">
        <v>5</v>
      </c>
      <c r="C5" s="283">
        <f>IFERROR(VLOOKUP(B5,예산실적비교표!$O$5:$R$200,3,FALSE),0)</f>
        <v>196824000</v>
      </c>
      <c r="D5" s="8"/>
      <c r="E5" s="284" t="s">
        <v>231</v>
      </c>
      <c r="F5" s="1325">
        <f>IF(데이터입력!$Y$1=2025,예산평균!AD12,IF($I$4=TRUE,예산평균!AE12,예산평균!AD12))</f>
        <v>0.625</v>
      </c>
      <c r="G5" s="8"/>
    </row>
    <row r="6" spans="1:10">
      <c r="A6" s="13"/>
      <c r="B6" s="16" t="s">
        <v>252</v>
      </c>
      <c r="C6" s="17">
        <f>IFERROR(VLOOKUP(B6,예산실적비교표!$O$5:$R$200,3,FALSE),0)</f>
        <v>1134036000</v>
      </c>
      <c r="D6" s="8"/>
      <c r="E6" s="18" t="s">
        <v>232</v>
      </c>
      <c r="F6" s="1146">
        <f>IF(데이터입력!$Y$1=2025,예산평균!AD13,IF($I$4=TRUE,예산평균!AE13,예산평균!AD13))</f>
        <v>0.65100000000000002</v>
      </c>
      <c r="G6" s="8"/>
    </row>
    <row r="7" spans="1:10">
      <c r="A7" s="13"/>
      <c r="B7" s="16" t="s">
        <v>138</v>
      </c>
      <c r="C7" s="17">
        <f>IFERROR(VLOOKUP(B7,예산실적비교표!$O$5:$R$200,3,FALSE),0)</f>
        <v>72000000</v>
      </c>
      <c r="D7" s="8"/>
      <c r="E7" s="18" t="s">
        <v>233</v>
      </c>
      <c r="F7" s="1146">
        <f>IF(데이터입력!$Y$1=2025,예산평균!AD14,IF($I$4=TRUE,예산평균!AE14,예산평균!AD14))</f>
        <v>0.48499999999999999</v>
      </c>
      <c r="G7" s="8"/>
    </row>
    <row r="8" spans="1:10">
      <c r="A8" s="13"/>
      <c r="B8" s="19" t="s">
        <v>40</v>
      </c>
      <c r="C8" s="20">
        <f>IFERROR(VLOOKUP(B8,예산실적비교표!$O$5:$R$200,3,FALSE),0)+IFERROR(VLOOKUP(B8,예산실적비교표!X7:AA200,3,FALSE),0)+IFERROR(VLOOKUP(B8,예산실적비교표!AG6:AJ200,3,FALSE),0)</f>
        <v>747532000</v>
      </c>
      <c r="D8" s="8"/>
      <c r="E8" s="18" t="s">
        <v>234</v>
      </c>
      <c r="F8" s="1146">
        <f>IF(데이터입력!$Y$1=2025,예산평균!AD15,IF($I$4=TRUE,예산평균!AE15,예산평균!AD15))</f>
        <v>0.58799999999999997</v>
      </c>
      <c r="G8" s="8"/>
    </row>
    <row r="9" spans="1:10">
      <c r="A9" s="13"/>
      <c r="B9" s="19" t="s">
        <v>42</v>
      </c>
      <c r="C9" s="20">
        <f>IFERROR(VLOOKUP(B9,예산실적비교표!$O$5:$R$200,3,FALSE),0)+IFERROR(VLOOKUP(B9,예산실적비교표!X8:AA201,3,FALSE),0)+IFERROR(VLOOKUP(B9,예산실적비교표!AG7:AJ201,3,FALSE),0)</f>
        <v>0</v>
      </c>
      <c r="D9" s="8"/>
      <c r="E9" s="18" t="s">
        <v>113</v>
      </c>
      <c r="F9" s="1146">
        <f>IF(데이터입력!$Y$1=2025,예산평균!AD16,IF($I$4=TRUE,예산평균!AE16,예산평균!AD16))</f>
        <v>0.86599999999999999</v>
      </c>
      <c r="G9" s="8"/>
    </row>
    <row r="10" spans="1:10">
      <c r="A10" s="13"/>
      <c r="B10" s="19" t="s">
        <v>44</v>
      </c>
      <c r="C10" s="20">
        <f>IFERROR(VLOOKUP(B10,예산실적비교표!$O$5:$R$200,3,FALSE),0)+IFERROR(VLOOKUP(B10,예산실적비교표!X9:AA202,3,FALSE),0)+IFERROR(VLOOKUP(B10,예산실적비교표!AG8:AJ202,3,FALSE),0)</f>
        <v>0</v>
      </c>
      <c r="D10" s="8"/>
      <c r="E10" s="18" t="s">
        <v>116</v>
      </c>
      <c r="F10" s="1146">
        <f>IF(데이터입력!$Y$1=2025,예산평균!AD17,IF($I$4=TRUE,예산평균!AE17,예산평균!AD17))</f>
        <v>0.496</v>
      </c>
      <c r="G10" s="8"/>
    </row>
    <row r="11" spans="1:10" ht="17.25" thickBot="1">
      <c r="A11" s="13"/>
      <c r="B11" s="19" t="s">
        <v>46</v>
      </c>
      <c r="C11" s="20">
        <f>IFERROR(VLOOKUP(B11,예산실적비교표!$O$5:$R$200,3,FALSE),0)+IFERROR(VLOOKUP(B11,예산실적비교표!X10:AA203,3,FALSE),0)+IFERROR(VLOOKUP(B11,예산실적비교표!AG9:AJ203,3,FALSE),0)</f>
        <v>80978000</v>
      </c>
      <c r="D11" s="8"/>
      <c r="E11" s="21" t="s">
        <v>119</v>
      </c>
      <c r="F11" s="1147">
        <f>IF(데이터입력!$Y$1=2025,예산평균!AD18,IF($I$4=TRUE,예산평균!AE18,예산평균!AD18))</f>
        <v>0.60099999999999998</v>
      </c>
      <c r="G11" s="8"/>
    </row>
    <row r="12" spans="1:10" ht="17.25" thickBot="1">
      <c r="A12" s="13"/>
      <c r="B12" s="22" t="s">
        <v>48</v>
      </c>
      <c r="C12" s="23">
        <f>IFERROR(VLOOKUP(B12,예산실적비교표!$O$5:$R$200,3,FALSE),0)+IFERROR(VLOOKUP(B12,예산실적비교표!X11:AA204,3,FALSE),0)+IFERROR(VLOOKUP(B12,예산실적비교표!AG10:AJ204,3,FALSE),0)</f>
        <v>101683000</v>
      </c>
      <c r="D12" s="8"/>
      <c r="E12" s="8"/>
      <c r="F12" s="8"/>
      <c r="G12" s="8"/>
    </row>
    <row r="13" spans="1:10" ht="17.25" thickBot="1">
      <c r="A13" s="8"/>
      <c r="B13" s="8"/>
      <c r="C13" s="8"/>
      <c r="D13" s="8"/>
      <c r="E13" s="8"/>
      <c r="F13" s="8"/>
      <c r="G13" s="8"/>
    </row>
    <row r="14" spans="1:10" ht="17.25" thickBot="1">
      <c r="A14" s="7"/>
      <c r="B14" s="1680" t="str">
        <f>"인건비 합산 ( "&amp;IF(데이터입력!AE2="",데이터입력!$Y$1-1&amp;"년도 "&amp;데이터입력!$Y$9&amp;"월 현재 )",데이터입력!$Y$1&amp;"년도 "&amp;데이터입력!$Y$9&amp;"월 현재 )")</f>
        <v>인건비 합산 ( 2025년도 12월 현재 )</v>
      </c>
      <c r="C14" s="1681"/>
      <c r="D14" s="8"/>
      <c r="E14" s="8"/>
      <c r="F14" s="8"/>
      <c r="G14" s="8"/>
    </row>
    <row r="15" spans="1:10">
      <c r="A15" s="7"/>
      <c r="B15" s="24" t="s">
        <v>253</v>
      </c>
      <c r="C15" s="25">
        <f>SUM($C$5:$C$7)</f>
        <v>1402860000</v>
      </c>
      <c r="D15" s="8"/>
      <c r="E15" s="8"/>
      <c r="F15" s="8"/>
      <c r="G15" s="8"/>
    </row>
    <row r="16" spans="1:10" ht="17.25" thickBot="1">
      <c r="A16" s="13"/>
      <c r="B16" s="26" t="s">
        <v>163</v>
      </c>
      <c r="C16" s="27">
        <f>SUM(C8:C12)</f>
        <v>930193000</v>
      </c>
      <c r="D16" s="8"/>
      <c r="E16" s="8"/>
      <c r="F16" s="8"/>
      <c r="G16" s="8"/>
    </row>
    <row r="17" spans="1:7" ht="17.25" thickBot="1">
      <c r="A17" s="13"/>
      <c r="B17" s="28" t="s">
        <v>254</v>
      </c>
      <c r="C17" s="909">
        <f>IFERROR(C16/C15,0)</f>
        <v>0.66306901615271663</v>
      </c>
      <c r="D17" s="1672" t="str">
        <f>IF(C23&gt;=0,"인건비비율 적합","인건비비율 부적합")</f>
        <v>인건비비율 적합</v>
      </c>
      <c r="E17" s="1673"/>
      <c r="F17" s="8"/>
      <c r="G17" s="8"/>
    </row>
    <row r="18" spans="1:7" ht="17.25" thickBot="1">
      <c r="A18" s="8"/>
      <c r="B18" s="8"/>
      <c r="C18" s="8"/>
      <c r="D18" s="8"/>
      <c r="E18" s="8"/>
      <c r="F18" s="8"/>
      <c r="G18" s="8"/>
    </row>
    <row r="19" spans="1:7">
      <c r="A19" s="7"/>
      <c r="B19" s="29" t="s">
        <v>150</v>
      </c>
      <c r="C19" s="30" t="str">
        <f>데이터입력!AB2</f>
        <v>시설</v>
      </c>
      <c r="D19" s="8"/>
      <c r="E19" s="8"/>
      <c r="F19" s="8"/>
      <c r="G19" s="8"/>
    </row>
    <row r="20" spans="1:7">
      <c r="A20" s="7"/>
      <c r="B20" s="31" t="str">
        <f>"인건비비율( "&amp;IF(데이터입력!AE2="",데이터입력!$Y$1-1,데이터입력!$Y$1)&amp;"년도 기준 )"</f>
        <v>인건비비율( 2025년도 기준 )</v>
      </c>
      <c r="C20" s="32">
        <f>IFERROR(VLOOKUP(C19,$E$4:$F$11,2,FALSE),0)</f>
        <v>0.625</v>
      </c>
      <c r="D20" s="8"/>
      <c r="E20" s="8"/>
      <c r="F20" s="8"/>
      <c r="G20" s="8"/>
    </row>
    <row r="21" spans="1:7">
      <c r="A21" s="7"/>
      <c r="B21" s="33" t="s">
        <v>255</v>
      </c>
      <c r="C21" s="34">
        <f>IFERROR(ROUND('인건비,생계비현황'!C15*VLOOKUP($C$19,'인건비,생계비현황'!$E$4:$F$11,2,FALSE),0),0)</f>
        <v>876787500</v>
      </c>
      <c r="D21" s="8"/>
      <c r="E21" s="8"/>
      <c r="F21" s="8"/>
      <c r="G21" s="8"/>
    </row>
    <row r="22" spans="1:7">
      <c r="A22" s="7"/>
      <c r="B22" s="35" t="str">
        <f>"직접 인건비("&amp;데이터입력!Y9&amp;"월기준)"</f>
        <v>직접 인건비(12월기준)</v>
      </c>
      <c r="C22" s="36">
        <f>SUM($C$8:$C$12)</f>
        <v>930193000</v>
      </c>
      <c r="D22" s="8"/>
      <c r="E22" s="8"/>
      <c r="F22" s="8"/>
      <c r="G22" s="8"/>
    </row>
    <row r="23" spans="1:7" ht="17.25" thickBot="1">
      <c r="A23" s="7"/>
      <c r="B23" s="28" t="s">
        <v>256</v>
      </c>
      <c r="C23" s="910">
        <f>C16-C21</f>
        <v>53405500</v>
      </c>
      <c r="F23" s="8"/>
      <c r="G23" s="8"/>
    </row>
    <row r="24" spans="1:7">
      <c r="A24" s="7"/>
      <c r="B24" s="8"/>
      <c r="C24" s="8"/>
      <c r="D24" s="8"/>
      <c r="E24" s="8"/>
      <c r="F24" s="8"/>
      <c r="G24" s="8"/>
    </row>
    <row r="25" spans="1:7">
      <c r="A25" s="7"/>
      <c r="B25" s="1674" t="s">
        <v>257</v>
      </c>
      <c r="C25" s="1674"/>
      <c r="D25" s="1674"/>
      <c r="E25" s="1674"/>
      <c r="F25" s="1674"/>
      <c r="G25" s="8"/>
    </row>
    <row r="26" spans="1:7" ht="17.25" thickBot="1">
      <c r="A26" s="7"/>
      <c r="B26" s="8"/>
      <c r="C26" s="8"/>
      <c r="D26" s="8"/>
      <c r="E26" s="8"/>
      <c r="F26" s="8"/>
      <c r="G26" s="8"/>
    </row>
    <row r="27" spans="1:7" ht="16.5" customHeight="1">
      <c r="A27" s="7"/>
      <c r="B27" s="1675" t="str">
        <f>"식재료비 현황 ( "&amp;IF(데이터입력!AE2="",데이터입력!$Y$1-1&amp;"년도 "&amp;데이터입력!$Y$9&amp;"월 현재 )",데이터입력!$Y$1&amp;"년도 "&amp;데이터입력!$Y$9&amp;"월 현재 )")</f>
        <v>식재료비 현황 ( 2025년도 12월 현재 )</v>
      </c>
      <c r="C27" s="1676"/>
      <c r="D27" s="8"/>
      <c r="E27" s="1686" t="s">
        <v>829</v>
      </c>
      <c r="F27" s="1687"/>
      <c r="G27" s="1688"/>
    </row>
    <row r="28" spans="1:7" ht="17.25" thickBot="1">
      <c r="A28" s="7"/>
      <c r="B28" s="1677" t="s">
        <v>258</v>
      </c>
      <c r="C28" s="1678"/>
      <c r="D28" s="8"/>
      <c r="E28" s="1689"/>
      <c r="F28" s="1690"/>
      <c r="G28" s="1691"/>
    </row>
    <row r="29" spans="1:7" ht="17.25" thickBot="1">
      <c r="A29" s="13"/>
      <c r="B29" s="37" t="s">
        <v>1</v>
      </c>
      <c r="C29" s="38" t="s">
        <v>251</v>
      </c>
      <c r="D29" s="39"/>
      <c r="E29" s="1689"/>
      <c r="F29" s="1690"/>
      <c r="G29" s="1691"/>
    </row>
    <row r="30" spans="1:7">
      <c r="A30" s="13"/>
      <c r="B30" s="14" t="s">
        <v>259</v>
      </c>
      <c r="C30" s="15">
        <f>IFERROR(VLOOKUP(B30,예산실적비교표!$O$5:$R$200,3,FALSE),0)</f>
        <v>119180160</v>
      </c>
      <c r="D30" s="39"/>
      <c r="E30" s="1689"/>
      <c r="F30" s="1690"/>
      <c r="G30" s="1691"/>
    </row>
    <row r="31" spans="1:7">
      <c r="A31" s="13"/>
      <c r="B31" s="16" t="s">
        <v>260</v>
      </c>
      <c r="C31" s="17">
        <f>IFERROR(VLOOKUP(B31,예산실적비교표!$O$5:$R$200,3,FALSE),0)</f>
        <v>46555502</v>
      </c>
      <c r="D31" s="39"/>
      <c r="E31" s="1689"/>
      <c r="F31" s="1690"/>
      <c r="G31" s="1691"/>
    </row>
    <row r="32" spans="1:7">
      <c r="A32" s="13"/>
      <c r="B32" s="16" t="s">
        <v>261</v>
      </c>
      <c r="C32" s="17">
        <f>IFERROR(VLOOKUP(B32,예산실적비교표!$O$5:$R$200,3,FALSE),0)</f>
        <v>0</v>
      </c>
      <c r="D32" s="39"/>
      <c r="E32" s="1689"/>
      <c r="F32" s="1690"/>
      <c r="G32" s="1691"/>
    </row>
    <row r="33" spans="1:7" ht="17.25" thickBot="1">
      <c r="A33" s="13"/>
      <c r="B33" s="22" t="s">
        <v>173</v>
      </c>
      <c r="C33" s="23">
        <f>IFERROR(VLOOKUP(B33,예산실적비교표!$N$5:$R$200,4,FALSE),0)</f>
        <v>0</v>
      </c>
      <c r="D33" s="39"/>
      <c r="E33" s="1689"/>
      <c r="F33" s="1690"/>
      <c r="G33" s="1691"/>
    </row>
    <row r="34" spans="1:7" ht="17.25" thickBot="1">
      <c r="A34" s="7"/>
      <c r="B34" s="8"/>
      <c r="C34" s="8"/>
      <c r="D34" s="8"/>
      <c r="E34" s="1692"/>
      <c r="F34" s="1693"/>
      <c r="G34" s="1694"/>
    </row>
    <row r="35" spans="1:7">
      <c r="A35" s="7"/>
      <c r="B35" s="1695" t="s">
        <v>262</v>
      </c>
      <c r="C35" s="1695"/>
      <c r="D35" s="1695"/>
      <c r="E35" s="1695"/>
      <c r="F35" s="1695"/>
      <c r="G35" s="8"/>
    </row>
    <row r="36" spans="1:7" ht="17.25" thickBot="1">
      <c r="A36" s="7"/>
      <c r="B36" s="8"/>
      <c r="C36" s="8"/>
      <c r="D36" s="8"/>
      <c r="E36" s="8"/>
      <c r="F36" s="8"/>
      <c r="G36" s="8"/>
    </row>
    <row r="37" spans="1:7">
      <c r="A37" s="7"/>
      <c r="B37" s="1698" t="str">
        <f>"식재료비 합산 ( "&amp;IF(데이터입력!AE2="",데이터입력!$Y$1-1&amp;"년도 "&amp;데이터입력!$Y$9&amp;"월 현재 )",데이터입력!$Y$1&amp;"년도 "&amp;데이터입력!$Y$9&amp;"월 현재 )")</f>
        <v>식재료비 합산 ( 2025년도 12월 현재 )</v>
      </c>
      <c r="C37" s="1699"/>
      <c r="D37" s="8"/>
      <c r="E37" s="8"/>
      <c r="F37" s="8"/>
      <c r="G37" s="8"/>
    </row>
    <row r="38" spans="1:7">
      <c r="A38" s="13"/>
      <c r="B38" s="24" t="s">
        <v>263</v>
      </c>
      <c r="C38" s="25">
        <f>SUM(C30:C32)</f>
        <v>165735662</v>
      </c>
      <c r="D38" s="8"/>
      <c r="E38" s="8"/>
      <c r="F38" s="8"/>
      <c r="G38" s="8"/>
    </row>
    <row r="39" spans="1:7" ht="17.25" thickBot="1">
      <c r="A39" s="13"/>
      <c r="B39" s="26" t="s">
        <v>264</v>
      </c>
      <c r="C39" s="27">
        <f>C33</f>
        <v>0</v>
      </c>
      <c r="D39" s="8"/>
      <c r="E39" s="8"/>
      <c r="F39" s="8"/>
      <c r="G39" s="8"/>
    </row>
    <row r="40" spans="1:7" ht="17.25" thickBot="1">
      <c r="A40" s="13"/>
      <c r="B40" s="28" t="s">
        <v>265</v>
      </c>
      <c r="C40" s="910">
        <f>C38-C39</f>
        <v>165735662</v>
      </c>
      <c r="D40" s="1672" t="str">
        <f>IF(C40&gt;0,"생계비지출 부적합","생계비지출 적합")</f>
        <v>생계비지출 부적합</v>
      </c>
      <c r="E40" s="1673"/>
      <c r="F40" s="8"/>
      <c r="G40" s="8"/>
    </row>
    <row r="41" spans="1:7" s="8" customFormat="1">
      <c r="A41" s="7"/>
      <c r="B41" s="292"/>
      <c r="C41" s="292"/>
      <c r="D41" s="291"/>
      <c r="E41" s="291"/>
    </row>
    <row r="42" spans="1:7">
      <c r="A42" s="7"/>
      <c r="B42" s="1696" t="s">
        <v>266</v>
      </c>
      <c r="C42" s="1696"/>
      <c r="D42" s="1696"/>
      <c r="E42" s="1696"/>
      <c r="F42" s="1696"/>
      <c r="G42" s="1696"/>
    </row>
    <row r="43" spans="1:7">
      <c r="A43" s="7"/>
      <c r="B43" s="1697" t="str">
        <f>"※ "&amp;IF(데이터입력!AE2="",데이터입력!$Y$1-1&amp;"년도 "&amp;데이터입력!$Y$9,데이터입력!$Y$1&amp;"년도 "&amp;데이터입력!$Y$9)&amp;"월 말일 계좌잔액이 [식재료비수입]의 남은 금액을 상회하여야함."</f>
        <v>※ 2025년도 12월 말일 계좌잔액이 [식재료비수입]의 남은 금액을 상회하여야함.</v>
      </c>
      <c r="C43" s="1697"/>
      <c r="D43" s="1697"/>
      <c r="E43" s="1697"/>
      <c r="F43" s="1697"/>
      <c r="G43" s="1697"/>
    </row>
    <row r="44" spans="1:7">
      <c r="A44" s="7"/>
      <c r="B44" s="8"/>
      <c r="C44" s="8"/>
      <c r="D44" s="8"/>
      <c r="E44" s="8"/>
      <c r="F44" s="8"/>
      <c r="G44" s="8"/>
    </row>
    <row r="55" spans="1:1">
      <c r="A55" s="42"/>
    </row>
    <row r="56" spans="1:1">
      <c r="A56" s="42"/>
    </row>
    <row r="57" spans="1:1">
      <c r="A57" s="42"/>
    </row>
    <row r="58" spans="1:1">
      <c r="A58" s="42"/>
    </row>
    <row r="59" spans="1:1">
      <c r="A59" s="42"/>
    </row>
    <row r="60" spans="1:1">
      <c r="A60" s="42"/>
    </row>
    <row r="61" spans="1:1">
      <c r="A61" s="42"/>
    </row>
    <row r="62" spans="1:1">
      <c r="A62" s="42"/>
    </row>
    <row r="63" spans="1:1">
      <c r="A63" s="42"/>
    </row>
    <row r="64" spans="1:1">
      <c r="A64" s="42"/>
    </row>
    <row r="65" spans="1:1">
      <c r="A65" s="42"/>
    </row>
    <row r="66" spans="1:1">
      <c r="A66" s="42"/>
    </row>
    <row r="67" spans="1:1">
      <c r="A67" s="42"/>
    </row>
    <row r="68" spans="1:1">
      <c r="A68" s="42"/>
    </row>
    <row r="69" spans="1:1">
      <c r="A69" s="42"/>
    </row>
    <row r="70" spans="1:1">
      <c r="A70" s="42"/>
    </row>
    <row r="71" spans="1:1">
      <c r="A71" s="42"/>
    </row>
    <row r="72" spans="1:1">
      <c r="A72" s="42"/>
    </row>
    <row r="73" spans="1:1">
      <c r="A73" s="42"/>
    </row>
    <row r="74" spans="1:1">
      <c r="A74" s="42"/>
    </row>
    <row r="75" spans="1:1">
      <c r="A75" s="42"/>
    </row>
    <row r="76" spans="1:1">
      <c r="A76" s="42"/>
    </row>
    <row r="77" spans="1:1">
      <c r="A77" s="42"/>
    </row>
    <row r="78" spans="1:1">
      <c r="A78" s="42"/>
    </row>
    <row r="79" spans="1:1">
      <c r="A79" s="42"/>
    </row>
    <row r="80" spans="1:1">
      <c r="A80" s="42"/>
    </row>
    <row r="81" spans="1:1">
      <c r="A81" s="42"/>
    </row>
    <row r="82" spans="1:1">
      <c r="A82" s="42"/>
    </row>
    <row r="83" spans="1:1">
      <c r="A83" s="42"/>
    </row>
    <row r="84" spans="1:1">
      <c r="A84" s="42"/>
    </row>
    <row r="85" spans="1:1">
      <c r="A85" s="42"/>
    </row>
    <row r="86" spans="1:1">
      <c r="A86" s="42"/>
    </row>
    <row r="87" spans="1:1">
      <c r="A87" s="42"/>
    </row>
    <row r="88" spans="1:1">
      <c r="A88" s="42"/>
    </row>
    <row r="89" spans="1:1">
      <c r="A89" s="42"/>
    </row>
    <row r="90" spans="1:1">
      <c r="A90" s="42"/>
    </row>
    <row r="91" spans="1:1">
      <c r="A91" s="42"/>
    </row>
    <row r="92" spans="1:1">
      <c r="A92" s="42"/>
    </row>
    <row r="93" spans="1:1">
      <c r="A93" s="42"/>
    </row>
    <row r="94" spans="1:1">
      <c r="A94" s="42"/>
    </row>
    <row r="95" spans="1:1">
      <c r="A95" s="42"/>
    </row>
    <row r="96" spans="1:1">
      <c r="A96" s="42"/>
    </row>
    <row r="97" spans="1:1">
      <c r="A97" s="42"/>
    </row>
    <row r="98" spans="1:1">
      <c r="A98" s="42"/>
    </row>
    <row r="99" spans="1:1">
      <c r="A99" s="42"/>
    </row>
    <row r="100" spans="1:1">
      <c r="A100" s="42"/>
    </row>
    <row r="101" spans="1:1">
      <c r="A101" s="42"/>
    </row>
    <row r="102" spans="1:1">
      <c r="A102" s="42"/>
    </row>
    <row r="103" spans="1:1">
      <c r="A103" s="42"/>
    </row>
    <row r="104" spans="1:1">
      <c r="A104" s="42"/>
    </row>
    <row r="105" spans="1:1">
      <c r="A105" s="42"/>
    </row>
    <row r="106" spans="1:1">
      <c r="A106" s="42"/>
    </row>
    <row r="107" spans="1:1">
      <c r="A107" s="42"/>
    </row>
    <row r="108" spans="1:1">
      <c r="A108" s="42"/>
    </row>
    <row r="109" spans="1:1">
      <c r="A109" s="42"/>
    </row>
    <row r="110" spans="1:1">
      <c r="A110" s="42"/>
    </row>
    <row r="111" spans="1:1">
      <c r="A111" s="42"/>
    </row>
    <row r="112" spans="1:1">
      <c r="A112" s="42"/>
    </row>
    <row r="113" spans="1:1">
      <c r="A113" s="42"/>
    </row>
    <row r="114" spans="1:1">
      <c r="A114" s="42"/>
    </row>
    <row r="115" spans="1:1">
      <c r="A115" s="42"/>
    </row>
    <row r="116" spans="1:1">
      <c r="A116" s="42"/>
    </row>
    <row r="117" spans="1:1">
      <c r="A117" s="42"/>
    </row>
    <row r="118" spans="1:1">
      <c r="A118" s="42"/>
    </row>
    <row r="119" spans="1:1">
      <c r="A119" s="42"/>
    </row>
    <row r="120" spans="1:1">
      <c r="A120" s="42"/>
    </row>
    <row r="121" spans="1:1">
      <c r="A121" s="42"/>
    </row>
    <row r="122" spans="1:1">
      <c r="A122" s="42"/>
    </row>
    <row r="123" spans="1:1">
      <c r="A123" s="42"/>
    </row>
    <row r="124" spans="1:1">
      <c r="A124" s="42"/>
    </row>
    <row r="125" spans="1:1">
      <c r="A125" s="42"/>
    </row>
    <row r="126" spans="1:1">
      <c r="A126" s="42"/>
    </row>
    <row r="127" spans="1:1">
      <c r="A127" s="42"/>
    </row>
    <row r="128" spans="1:1">
      <c r="A128" s="42"/>
    </row>
    <row r="129" spans="1:1">
      <c r="A129" s="42"/>
    </row>
    <row r="130" spans="1:1">
      <c r="A130" s="42"/>
    </row>
    <row r="131" spans="1:1">
      <c r="A131" s="42"/>
    </row>
    <row r="132" spans="1:1">
      <c r="A132" s="42"/>
    </row>
    <row r="133" spans="1:1">
      <c r="A133" s="42"/>
    </row>
    <row r="134" spans="1:1">
      <c r="A134" s="42"/>
    </row>
    <row r="135" spans="1:1">
      <c r="A135" s="42"/>
    </row>
    <row r="136" spans="1:1">
      <c r="A136" s="42"/>
    </row>
    <row r="137" spans="1:1">
      <c r="A137" s="42"/>
    </row>
    <row r="138" spans="1:1">
      <c r="A138" s="42"/>
    </row>
    <row r="139" spans="1:1">
      <c r="A139" s="42"/>
    </row>
    <row r="140" spans="1:1">
      <c r="A140" s="42"/>
    </row>
    <row r="141" spans="1:1">
      <c r="A141" s="42"/>
    </row>
    <row r="142" spans="1:1">
      <c r="A142" s="42"/>
    </row>
    <row r="143" spans="1:1">
      <c r="A143" s="42"/>
    </row>
    <row r="144" spans="1:1">
      <c r="A144" s="42"/>
    </row>
    <row r="145" spans="1:1">
      <c r="A145" s="42"/>
    </row>
    <row r="146" spans="1:1">
      <c r="A146" s="42"/>
    </row>
    <row r="147" spans="1:1">
      <c r="A147" s="42"/>
    </row>
    <row r="148" spans="1:1">
      <c r="A148" s="42"/>
    </row>
    <row r="149" spans="1:1">
      <c r="A149" s="42"/>
    </row>
    <row r="150" spans="1:1">
      <c r="A150" s="42"/>
    </row>
    <row r="151" spans="1:1">
      <c r="A151" s="42"/>
    </row>
    <row r="152" spans="1:1">
      <c r="A152" s="42"/>
    </row>
    <row r="153" spans="1:1">
      <c r="A153" s="42"/>
    </row>
    <row r="154" spans="1:1">
      <c r="A154" s="42"/>
    </row>
    <row r="155" spans="1:1">
      <c r="A155" s="42"/>
    </row>
    <row r="156" spans="1:1">
      <c r="A156" s="42"/>
    </row>
    <row r="157" spans="1:1">
      <c r="A157" s="42"/>
    </row>
    <row r="158" spans="1:1">
      <c r="A158" s="42"/>
    </row>
    <row r="159" spans="1:1">
      <c r="A159" s="42"/>
    </row>
    <row r="160" spans="1:1">
      <c r="A160" s="42"/>
    </row>
    <row r="161" spans="1:1">
      <c r="A161" s="42"/>
    </row>
    <row r="162" spans="1:1">
      <c r="A162" s="42"/>
    </row>
    <row r="163" spans="1:1">
      <c r="A163" s="42"/>
    </row>
    <row r="164" spans="1:1">
      <c r="A164" s="42"/>
    </row>
    <row r="165" spans="1:1">
      <c r="A165" s="42"/>
    </row>
    <row r="166" spans="1:1">
      <c r="A166" s="42"/>
    </row>
    <row r="167" spans="1:1">
      <c r="A167" s="42"/>
    </row>
    <row r="168" spans="1:1">
      <c r="A168" s="42"/>
    </row>
    <row r="169" spans="1:1">
      <c r="A169" s="42"/>
    </row>
    <row r="170" spans="1:1">
      <c r="A170" s="42"/>
    </row>
    <row r="171" spans="1:1">
      <c r="A171" s="42"/>
    </row>
    <row r="172" spans="1:1">
      <c r="A172" s="42"/>
    </row>
    <row r="173" spans="1:1">
      <c r="A173" s="42"/>
    </row>
  </sheetData>
  <mergeCells count="16">
    <mergeCell ref="B35:F35"/>
    <mergeCell ref="D40:E40"/>
    <mergeCell ref="B42:G42"/>
    <mergeCell ref="B43:G43"/>
    <mergeCell ref="B37:C37"/>
    <mergeCell ref="I2:J2"/>
    <mergeCell ref="D17:E17"/>
    <mergeCell ref="B25:F25"/>
    <mergeCell ref="B27:C27"/>
    <mergeCell ref="B28:C28"/>
    <mergeCell ref="A1:G2"/>
    <mergeCell ref="B3:C3"/>
    <mergeCell ref="E3:F3"/>
    <mergeCell ref="E4:F4"/>
    <mergeCell ref="B14:C14"/>
    <mergeCell ref="E27:G34"/>
  </mergeCells>
  <phoneticPr fontId="1" type="noConversion"/>
  <conditionalFormatting sqref="C17">
    <cfRule type="expression" dxfId="9" priority="3">
      <formula>$C$17&lt;$C$20</formula>
    </cfRule>
    <cfRule type="expression" dxfId="8" priority="4">
      <formula>$C$17&gt;=$C$20</formula>
    </cfRule>
  </conditionalFormatting>
  <conditionalFormatting sqref="C23">
    <cfRule type="expression" dxfId="7" priority="7">
      <formula>$C$23&lt;0</formula>
    </cfRule>
    <cfRule type="expression" dxfId="6" priority="8">
      <formula>$C$23&gt;=0</formula>
    </cfRule>
  </conditionalFormatting>
  <conditionalFormatting sqref="C40">
    <cfRule type="cellIs" dxfId="5" priority="1" operator="greaterThan">
      <formula>0</formula>
    </cfRule>
    <cfRule type="expression" dxfId="4" priority="2">
      <formula>$C$40&lt;=0</formula>
    </cfRule>
  </conditionalFormatting>
  <conditionalFormatting sqref="D41">
    <cfRule type="containsText" dxfId="3" priority="9" operator="containsText" text="부적합">
      <formula>NOT(ISERROR(SEARCH("부적합",D41)))</formula>
    </cfRule>
    <cfRule type="containsText" dxfId="2" priority="10" operator="containsText" text=" 적합">
      <formula>NOT(ISERROR(SEARCH(" 적합",D41)))</formula>
    </cfRule>
  </conditionalFormatting>
  <conditionalFormatting sqref="D17:E17 D40">
    <cfRule type="containsText" dxfId="1" priority="5" operator="containsText" text="부적합">
      <formula>NOT(ISERROR(SEARCH("부적합",D17)))</formula>
    </cfRule>
    <cfRule type="containsText" dxfId="0" priority="6" operator="containsText" text=" 적합">
      <formula>NOT(ISERROR(SEARCH(" 적합",D17)))</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ltText="">
                <anchor moveWithCells="1">
                  <from>
                    <xdr:col>8</xdr:col>
                    <xdr:colOff>238125</xdr:colOff>
                    <xdr:row>1</xdr:row>
                    <xdr:rowOff>209550</xdr:rowOff>
                  </from>
                  <to>
                    <xdr:col>8</xdr:col>
                    <xdr:colOff>542925</xdr:colOff>
                    <xdr:row>3</xdr:row>
                    <xdr:rowOff>19050</xdr:rowOff>
                  </to>
                </anchor>
              </controlPr>
            </control>
          </mc:Choice>
        </mc:AlternateContent>
        <mc:AlternateContent xmlns:mc="http://schemas.openxmlformats.org/markup-compatibility/2006">
          <mc:Choice Requires="x14">
            <control shapeId="39938" r:id="rId5" name="Check Box 2">
              <controlPr defaultSize="0" autoFill="0" autoLine="0" autoPict="0" altText="">
                <anchor moveWithCells="1">
                  <from>
                    <xdr:col>8</xdr:col>
                    <xdr:colOff>238125</xdr:colOff>
                    <xdr:row>2</xdr:row>
                    <xdr:rowOff>190500</xdr:rowOff>
                  </from>
                  <to>
                    <xdr:col>8</xdr:col>
                    <xdr:colOff>542925</xdr:colOff>
                    <xdr:row>4</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CDB62-5732-4B16-AA09-0A3F5183170C}">
  <sheetPr>
    <tabColor theme="5"/>
  </sheetPr>
  <dimension ref="A1:F23"/>
  <sheetViews>
    <sheetView view="pageBreakPreview" zoomScale="85" zoomScaleNormal="100" zoomScaleSheetLayoutView="85" workbookViewId="0">
      <selection activeCell="N14" sqref="N14"/>
    </sheetView>
  </sheetViews>
  <sheetFormatPr defaultRowHeight="16.5"/>
  <cols>
    <col min="1" max="2" width="17.75" style="507" customWidth="1"/>
    <col min="3" max="3" width="9.75" style="507" customWidth="1"/>
    <col min="4" max="4" width="24.625" style="507" customWidth="1"/>
    <col min="5" max="5" width="13.875" style="507" customWidth="1"/>
    <col min="6" max="6" width="17.375" style="507" customWidth="1"/>
    <col min="7" max="16384" width="9" style="161"/>
  </cols>
  <sheetData>
    <row r="1" spans="1:6" s="507" customFormat="1" ht="35.25" customHeight="1">
      <c r="A1" s="505"/>
      <c r="B1" s="506"/>
      <c r="C1" s="506"/>
      <c r="D1" s="506"/>
      <c r="E1" s="506"/>
      <c r="F1" s="506"/>
    </row>
    <row r="2" spans="1:6" s="507" customFormat="1" ht="35.25" customHeight="1">
      <c r="A2" s="1704" t="s">
        <v>339</v>
      </c>
      <c r="B2" s="1705"/>
      <c r="C2" s="1705"/>
      <c r="D2" s="1705"/>
      <c r="E2" s="1705"/>
      <c r="F2" s="1706"/>
    </row>
    <row r="3" spans="1:6" s="507" customFormat="1" ht="35.25" customHeight="1">
      <c r="A3" s="1707"/>
      <c r="B3" s="1708"/>
      <c r="C3" s="1708"/>
      <c r="D3" s="1708"/>
      <c r="E3" s="1708"/>
      <c r="F3" s="1709"/>
    </row>
    <row r="4" spans="1:6" s="507" customFormat="1" ht="35.25" customHeight="1">
      <c r="A4" s="1710" t="s">
        <v>340</v>
      </c>
      <c r="B4" s="1711"/>
      <c r="C4" s="508" t="s">
        <v>341</v>
      </c>
      <c r="D4" s="509">
        <f>데이터입력!Y2</f>
        <v>46002</v>
      </c>
      <c r="E4" s="1712"/>
      <c r="F4" s="1713"/>
    </row>
    <row r="5" spans="1:6" s="507" customFormat="1" ht="35.25" customHeight="1">
      <c r="A5" s="1714" t="s">
        <v>342</v>
      </c>
      <c r="B5" s="1715"/>
      <c r="C5" s="1715"/>
      <c r="D5" s="1715"/>
      <c r="E5" s="1715"/>
      <c r="F5" s="1716"/>
    </row>
    <row r="6" spans="1:6" s="507" customFormat="1" ht="35.25" customHeight="1">
      <c r="A6" s="1700" t="s">
        <v>343</v>
      </c>
      <c r="B6" s="1701"/>
      <c r="C6" s="510" t="s">
        <v>344</v>
      </c>
      <c r="D6" s="511" t="str">
        <f>데이터입력!AB1</f>
        <v>(주)실버랜드</v>
      </c>
      <c r="E6" s="510" t="s">
        <v>345</v>
      </c>
      <c r="F6" s="512" t="str">
        <f>IF(데이터입력!$AE$1="","",데이터입력!$AE$1)</f>
        <v>이민희</v>
      </c>
    </row>
    <row r="7" spans="1:6" s="507" customFormat="1" ht="35.25" customHeight="1" thickBot="1">
      <c r="A7" s="1702"/>
      <c r="B7" s="1703"/>
      <c r="C7" s="513" t="s">
        <v>346</v>
      </c>
      <c r="D7" s="514"/>
      <c r="E7" s="513" t="s">
        <v>347</v>
      </c>
      <c r="F7" s="515"/>
    </row>
    <row r="8" spans="1:6" s="507" customFormat="1" ht="35.25" customHeight="1">
      <c r="A8" s="1720"/>
      <c r="B8" s="1721"/>
      <c r="C8" s="1721"/>
      <c r="D8" s="1721"/>
      <c r="E8" s="1721"/>
      <c r="F8" s="1722"/>
    </row>
    <row r="9" spans="1:6" s="507" customFormat="1" ht="35.25" customHeight="1">
      <c r="A9" s="1723" t="s">
        <v>348</v>
      </c>
      <c r="B9" s="1724"/>
      <c r="C9" s="1748">
        <f>데이터입력!H18+데이터입력!H19</f>
        <v>0</v>
      </c>
      <c r="D9" s="1749"/>
      <c r="E9" s="769" t="s">
        <v>686</v>
      </c>
      <c r="F9" s="770"/>
    </row>
    <row r="10" spans="1:6" s="507" customFormat="1" ht="35.25" customHeight="1">
      <c r="A10" s="1725" t="s">
        <v>349</v>
      </c>
      <c r="B10" s="1726"/>
      <c r="C10" s="1727" t="s">
        <v>350</v>
      </c>
      <c r="D10" s="1728"/>
      <c r="E10" s="1728"/>
      <c r="F10" s="1729"/>
    </row>
    <row r="11" spans="1:6" s="507" customFormat="1" ht="35.25" customHeight="1">
      <c r="A11" s="1733" t="s">
        <v>351</v>
      </c>
      <c r="B11" s="1734"/>
      <c r="C11" s="1730"/>
      <c r="D11" s="1731"/>
      <c r="E11" s="1731"/>
      <c r="F11" s="1732"/>
    </row>
    <row r="12" spans="1:6" s="507" customFormat="1" ht="35.25" customHeight="1">
      <c r="A12" s="1735" t="s">
        <v>352</v>
      </c>
      <c r="B12" s="1736"/>
      <c r="C12" s="1737" t="str">
        <f>데이터입력!$Y$1&amp;"년도 상환예정
장기요양급여수입, 가산금 등의 수입금액으로 상환예정"</f>
        <v>2026년도 상환예정
장기요양급여수입, 가산금 등의 수입금액으로 상환예정</v>
      </c>
      <c r="D12" s="1738"/>
      <c r="E12" s="1738"/>
      <c r="F12" s="1739"/>
    </row>
    <row r="13" spans="1:6" s="507" customFormat="1" ht="35.25" customHeight="1" thickBot="1">
      <c r="A13" s="1743" t="s">
        <v>353</v>
      </c>
      <c r="B13" s="1744"/>
      <c r="C13" s="1740"/>
      <c r="D13" s="1741"/>
      <c r="E13" s="1741"/>
      <c r="F13" s="1742"/>
    </row>
    <row r="14" spans="1:6" s="507" customFormat="1" ht="35.25" customHeight="1">
      <c r="A14" s="1745"/>
      <c r="B14" s="1746"/>
      <c r="C14" s="1746"/>
      <c r="D14" s="1746"/>
      <c r="E14" s="1746"/>
      <c r="F14" s="1747"/>
    </row>
    <row r="15" spans="1:6" s="507" customFormat="1" ht="35.25" customHeight="1">
      <c r="A15" s="1717" t="s">
        <v>354</v>
      </c>
      <c r="B15" s="1718"/>
      <c r="C15" s="1718"/>
      <c r="D15" s="1718"/>
      <c r="E15" s="1718"/>
      <c r="F15" s="1719"/>
    </row>
    <row r="16" spans="1:6" s="507" customFormat="1" ht="35.25" customHeight="1">
      <c r="A16" s="1717"/>
      <c r="B16" s="1718"/>
      <c r="C16" s="1718"/>
      <c r="D16" s="1718"/>
      <c r="E16" s="1718"/>
      <c r="F16" s="1719"/>
    </row>
    <row r="17" spans="1:6" s="507" customFormat="1" ht="35.25" customHeight="1">
      <c r="A17" s="1753">
        <f>D4</f>
        <v>46002</v>
      </c>
      <c r="B17" s="1754"/>
      <c r="C17" s="1754"/>
      <c r="D17" s="1754"/>
      <c r="E17" s="1754"/>
      <c r="F17" s="1755"/>
    </row>
    <row r="18" spans="1:6" s="507" customFormat="1" ht="35.25" customHeight="1">
      <c r="A18" s="1756" t="s">
        <v>343</v>
      </c>
      <c r="B18" s="1757"/>
      <c r="C18" s="1757"/>
      <c r="D18" s="1754" t="str">
        <f>F6</f>
        <v>이민희</v>
      </c>
      <c r="E18" s="1754"/>
      <c r="F18" s="516" t="s">
        <v>355</v>
      </c>
    </row>
    <row r="19" spans="1:6" s="507" customFormat="1" ht="35.25" customHeight="1" thickBot="1">
      <c r="A19" s="1758"/>
      <c r="B19" s="1759"/>
      <c r="C19" s="1759"/>
      <c r="D19" s="1759"/>
      <c r="E19" s="1759"/>
      <c r="F19" s="1760"/>
    </row>
    <row r="20" spans="1:6" s="507" customFormat="1" ht="35.25" customHeight="1" thickTop="1">
      <c r="A20" s="1761"/>
      <c r="B20" s="1762"/>
      <c r="C20" s="1762"/>
      <c r="D20" s="1762"/>
      <c r="E20" s="1762"/>
      <c r="F20" s="1763"/>
    </row>
    <row r="21" spans="1:6" s="507" customFormat="1" ht="35.25" customHeight="1">
      <c r="A21" s="1764" t="s">
        <v>356</v>
      </c>
      <c r="B21" s="1766" t="s">
        <v>357</v>
      </c>
      <c r="C21" s="1767"/>
      <c r="D21" s="1767"/>
      <c r="E21" s="1768"/>
      <c r="F21" s="517" t="s">
        <v>358</v>
      </c>
    </row>
    <row r="22" spans="1:6" s="507" customFormat="1" ht="35.25" customHeight="1">
      <c r="A22" s="1765"/>
      <c r="B22" s="1769"/>
      <c r="C22" s="1770"/>
      <c r="D22" s="1770"/>
      <c r="E22" s="1771"/>
      <c r="F22" s="518" t="s">
        <v>359</v>
      </c>
    </row>
    <row r="23" spans="1:6" s="507" customFormat="1" ht="35.25" customHeight="1">
      <c r="A23" s="1750"/>
      <c r="B23" s="1751"/>
      <c r="C23" s="1751"/>
      <c r="D23" s="1751"/>
      <c r="E23" s="1751"/>
      <c r="F23" s="1752"/>
    </row>
  </sheetData>
  <sheetProtection algorithmName="SHA-512" hashValue="AI6VD68IX6CS9RuLWHMKcGdTaNZw9Ak3wo8qrfwg6bQDCTfXWgewhOKiuaygpcBAN3WfswPp5gDoop4CdDRgKg==" saltValue="kpKBjs7WH1I5EBpSPBx3OA==" spinCount="100000" sheet="1" objects="1" scenarios="1"/>
  <mergeCells count="26">
    <mergeCell ref="A23:F23"/>
    <mergeCell ref="A17:F17"/>
    <mergeCell ref="A18:C18"/>
    <mergeCell ref="D18:E18"/>
    <mergeCell ref="A19:F19"/>
    <mergeCell ref="A20:F20"/>
    <mergeCell ref="A21:A22"/>
    <mergeCell ref="B21:E22"/>
    <mergeCell ref="A16:F16"/>
    <mergeCell ref="A8:F8"/>
    <mergeCell ref="A9:B9"/>
    <mergeCell ref="A10:B10"/>
    <mergeCell ref="C10:F11"/>
    <mergeCell ref="A11:B11"/>
    <mergeCell ref="A12:B12"/>
    <mergeCell ref="C12:F13"/>
    <mergeCell ref="A13:B13"/>
    <mergeCell ref="A14:F14"/>
    <mergeCell ref="A15:F15"/>
    <mergeCell ref="C9:D9"/>
    <mergeCell ref="A6:B7"/>
    <mergeCell ref="A2:F2"/>
    <mergeCell ref="A3:F3"/>
    <mergeCell ref="A4:B4"/>
    <mergeCell ref="E4:F4"/>
    <mergeCell ref="A5:F5"/>
  </mergeCells>
  <phoneticPr fontId="1" type="noConversion"/>
  <pageMargins left="0.7" right="0.7" top="0.75" bottom="0.75" header="0.3" footer="0.3"/>
  <pageSetup paperSize="9" scale="78" orientation="portrait"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1EC8A-6B70-47AD-AF88-0DDB98BFE743}">
  <sheetPr>
    <tabColor theme="5"/>
  </sheetPr>
  <dimension ref="A1:F24"/>
  <sheetViews>
    <sheetView view="pageBreakPreview" zoomScale="85" zoomScaleNormal="100" zoomScaleSheetLayoutView="85" workbookViewId="0">
      <selection activeCell="C10" sqref="C10"/>
    </sheetView>
  </sheetViews>
  <sheetFormatPr defaultRowHeight="16.5"/>
  <cols>
    <col min="1" max="1" width="21.75" style="507" customWidth="1"/>
    <col min="2" max="2" width="4.875" style="507" customWidth="1"/>
    <col min="3" max="3" width="17.25" style="507" customWidth="1"/>
    <col min="4" max="4" width="24.625" style="507" customWidth="1"/>
    <col min="5" max="5" width="13.875" style="507" customWidth="1"/>
    <col min="6" max="6" width="18.75" style="507" customWidth="1"/>
    <col min="7" max="16384" width="9" style="161"/>
  </cols>
  <sheetData>
    <row r="1" spans="1:6" s="507" customFormat="1" ht="35.25" customHeight="1" thickTop="1">
      <c r="A1" s="519"/>
      <c r="B1" s="520"/>
      <c r="C1" s="521"/>
      <c r="D1" s="521"/>
      <c r="E1" s="521"/>
      <c r="F1" s="522"/>
    </row>
    <row r="2" spans="1:6" s="507" customFormat="1" ht="35.25" customHeight="1">
      <c r="A2" s="1772" t="s">
        <v>368</v>
      </c>
      <c r="B2" s="1773"/>
      <c r="C2" s="1773"/>
      <c r="D2" s="1773"/>
      <c r="E2" s="1773"/>
      <c r="F2" s="1774"/>
    </row>
    <row r="3" spans="1:6" s="507" customFormat="1" ht="35.25" customHeight="1">
      <c r="A3" s="1775"/>
      <c r="B3" s="1776"/>
      <c r="C3" s="1776"/>
      <c r="D3" s="1776"/>
      <c r="E3" s="1776"/>
      <c r="F3" s="1777"/>
    </row>
    <row r="4" spans="1:6" s="507" customFormat="1" ht="35.25" customHeight="1">
      <c r="A4" s="523" t="s">
        <v>340</v>
      </c>
      <c r="B4" s="524"/>
      <c r="C4" s="525" t="s">
        <v>341</v>
      </c>
      <c r="D4" s="509">
        <f>데이터입력!Y2</f>
        <v>46002</v>
      </c>
      <c r="E4" s="1712"/>
      <c r="F4" s="1778"/>
    </row>
    <row r="5" spans="1:6" s="507" customFormat="1" ht="35.25" customHeight="1">
      <c r="A5" s="1779" t="s">
        <v>342</v>
      </c>
      <c r="B5" s="1715"/>
      <c r="C5" s="1715"/>
      <c r="D5" s="1715"/>
      <c r="E5" s="1715"/>
      <c r="F5" s="1780"/>
    </row>
    <row r="6" spans="1:6" s="507" customFormat="1" ht="35.25" customHeight="1">
      <c r="A6" s="1781" t="s">
        <v>343</v>
      </c>
      <c r="B6" s="1701"/>
      <c r="C6" s="510" t="s">
        <v>344</v>
      </c>
      <c r="D6" s="511" t="str">
        <f>데이터입력!AB1</f>
        <v>(주)실버랜드</v>
      </c>
      <c r="E6" s="510" t="s">
        <v>345</v>
      </c>
      <c r="F6" s="526" t="str">
        <f>IF(데이터입력!$AE$1="","",데이터입력!$AE$1)</f>
        <v>이민희</v>
      </c>
    </row>
    <row r="7" spans="1:6" s="507" customFormat="1" ht="35.25" customHeight="1" thickBot="1">
      <c r="A7" s="1782"/>
      <c r="B7" s="1703"/>
      <c r="C7" s="513" t="s">
        <v>346</v>
      </c>
      <c r="D7" s="514"/>
      <c r="E7" s="513" t="s">
        <v>347</v>
      </c>
      <c r="F7" s="527"/>
    </row>
    <row r="8" spans="1:6" s="507" customFormat="1" ht="35.25" customHeight="1">
      <c r="A8" s="1792"/>
      <c r="B8" s="1793"/>
      <c r="C8" s="1793"/>
      <c r="D8" s="1793"/>
      <c r="E8" s="1793"/>
      <c r="F8" s="1794"/>
    </row>
    <row r="9" spans="1:6" s="507" customFormat="1" ht="35.25" customHeight="1">
      <c r="A9" s="528" t="s">
        <v>363</v>
      </c>
      <c r="B9" s="529"/>
      <c r="C9" s="768">
        <f>IF(데이터입력!$H$79&gt;0,데이터입력!$H$79,데이터입력!$AI$93)</f>
        <v>0</v>
      </c>
      <c r="D9" s="766" t="s">
        <v>686</v>
      </c>
      <c r="E9" s="766"/>
      <c r="F9" s="767"/>
    </row>
    <row r="10" spans="1:6" s="507" customFormat="1" ht="35.25" customHeight="1">
      <c r="A10" s="528" t="s">
        <v>364</v>
      </c>
      <c r="B10" s="529"/>
      <c r="C10" s="765">
        <f>데이터입력!$Z$8</f>
        <v>46023</v>
      </c>
      <c r="D10" s="762" t="str">
        <f>"~   "&amp;데이터입력!$Y$1&amp;"-12-31"</f>
        <v>~   2026-12-31</v>
      </c>
      <c r="E10" s="763"/>
      <c r="F10" s="764"/>
    </row>
    <row r="11" spans="1:6" s="507" customFormat="1" ht="35.25" customHeight="1">
      <c r="A11" s="528" t="s">
        <v>365</v>
      </c>
      <c r="B11" s="529"/>
      <c r="C11" s="1795" t="s">
        <v>361</v>
      </c>
      <c r="D11" s="1795"/>
      <c r="E11" s="1795"/>
      <c r="F11" s="1796"/>
    </row>
    <row r="12" spans="1:6" s="507" customFormat="1" ht="35.25" customHeight="1">
      <c r="A12" s="528" t="s">
        <v>366</v>
      </c>
      <c r="B12" s="529"/>
      <c r="C12" s="1795" t="s">
        <v>362</v>
      </c>
      <c r="D12" s="1795"/>
      <c r="E12" s="1795"/>
      <c r="F12" s="1796"/>
    </row>
    <row r="13" spans="1:6" s="507" customFormat="1" ht="35.25" customHeight="1">
      <c r="A13" s="528" t="s">
        <v>367</v>
      </c>
      <c r="B13" s="529"/>
      <c r="C13" s="1795" t="str">
        <f>데이터입력!$AB$1&amp;" 본 회계에서 지출처리 후 특별회계로 운영"</f>
        <v>(주)실버랜드 본 회계에서 지출처리 후 특별회계로 운영</v>
      </c>
      <c r="D13" s="1795"/>
      <c r="E13" s="1795"/>
      <c r="F13" s="1796"/>
    </row>
    <row r="14" spans="1:6" s="507" customFormat="1" ht="15.75" customHeight="1">
      <c r="A14" s="1789"/>
      <c r="B14" s="1790"/>
      <c r="C14" s="1790"/>
      <c r="D14" s="1790"/>
      <c r="E14" s="1790"/>
      <c r="F14" s="1791"/>
    </row>
    <row r="15" spans="1:6" s="507" customFormat="1" ht="44.25" customHeight="1">
      <c r="A15" s="1797" t="str">
        <f>" 기관의 안정적인 운영을 위하여 2년 이상의 운영충당금을 적립하여 기관운영 시 발생하는 과도한 지출을 해결하기 위한 비용으로 기관 운영에 영향을 미치지 않고 노인복지사업을 유지 할 수 있도록 하고자 함.
 적립금액의 범위는 시설운영과 인건비를 지급하는데 영향을 미치지 않는 범위 내에서 적립금액을 결정하였음.
 적립방식은 사용용도가 발생할 경우 손실이 발생하지 않고 중도해지 또는 인출하여 사용이 가능한 방식으로 적립하고자 함.
 위 적립금은 "&amp;데이터입력!Y1&amp;"년도 세출예산에 편성하여 운영위원회 보고 및 이사회의 승인을 득한 후 집행하기로 함."</f>
        <v xml:space="preserve"> 기관의 안정적인 운영을 위하여 2년 이상의 운영충당금을 적립하여 기관운영 시 발생하는 과도한 지출을 해결하기 위한 비용으로 기관 운영에 영향을 미치지 않고 노인복지사업을 유지 할 수 있도록 하고자 함.
 적립금액의 범위는 시설운영과 인건비를 지급하는데 영향을 미치지 않는 범위 내에서 적립금액을 결정하였음.
 적립방식은 사용용도가 발생할 경우 손실이 발생하지 않고 중도해지 또는 인출하여 사용이 가능한 방식으로 적립하고자 함.
 위 적립금은 2026년도 세출예산에 편성하여 운영위원회 보고 및 이사회의 승인을 득한 후 집행하기로 함.</v>
      </c>
      <c r="B15" s="1798"/>
      <c r="C15" s="1798"/>
      <c r="D15" s="1798"/>
      <c r="E15" s="1798"/>
      <c r="F15" s="1799"/>
    </row>
    <row r="16" spans="1:6" s="507" customFormat="1" ht="44.25" customHeight="1">
      <c r="A16" s="1797"/>
      <c r="B16" s="1798"/>
      <c r="C16" s="1798"/>
      <c r="D16" s="1798"/>
      <c r="E16" s="1798"/>
      <c r="F16" s="1799"/>
    </row>
    <row r="17" spans="1:6" s="507" customFormat="1" ht="44.25" customHeight="1">
      <c r="A17" s="1797"/>
      <c r="B17" s="1798"/>
      <c r="C17" s="1798"/>
      <c r="D17" s="1798"/>
      <c r="E17" s="1798"/>
      <c r="F17" s="1799"/>
    </row>
    <row r="18" spans="1:6" s="507" customFormat="1" ht="44.25" customHeight="1">
      <c r="A18" s="1797"/>
      <c r="B18" s="1798"/>
      <c r="C18" s="1798"/>
      <c r="D18" s="1798"/>
      <c r="E18" s="1798"/>
      <c r="F18" s="1799"/>
    </row>
    <row r="19" spans="1:6" s="507" customFormat="1" ht="44.25" customHeight="1">
      <c r="A19" s="1797"/>
      <c r="B19" s="1798"/>
      <c r="C19" s="1798"/>
      <c r="D19" s="1798"/>
      <c r="E19" s="1798"/>
      <c r="F19" s="1799"/>
    </row>
    <row r="20" spans="1:6" s="507" customFormat="1" ht="44.25" customHeight="1">
      <c r="A20" s="1797"/>
      <c r="B20" s="1798"/>
      <c r="C20" s="1798"/>
      <c r="D20" s="1798"/>
      <c r="E20" s="1798"/>
      <c r="F20" s="1799"/>
    </row>
    <row r="21" spans="1:6" s="507" customFormat="1" ht="35.25" customHeight="1">
      <c r="A21" s="1800">
        <f>D4</f>
        <v>46002</v>
      </c>
      <c r="B21" s="1801"/>
      <c r="C21" s="1802"/>
      <c r="D21" s="1802"/>
      <c r="E21" s="1802"/>
      <c r="F21" s="1803"/>
    </row>
    <row r="22" spans="1:6" s="507" customFormat="1" ht="62.25" customHeight="1">
      <c r="A22" s="1783" t="s">
        <v>343</v>
      </c>
      <c r="B22" s="1784"/>
      <c r="C22" s="1784"/>
      <c r="D22" s="1785" t="str">
        <f>F6</f>
        <v>이민희</v>
      </c>
      <c r="E22" s="1785"/>
      <c r="F22" s="530" t="s">
        <v>355</v>
      </c>
    </row>
    <row r="23" spans="1:6" s="507" customFormat="1" ht="50.25" customHeight="1" thickBot="1">
      <c r="A23" s="1786"/>
      <c r="B23" s="1787"/>
      <c r="C23" s="1787"/>
      <c r="D23" s="1787"/>
      <c r="E23" s="1787"/>
      <c r="F23" s="1788"/>
    </row>
    <row r="24" spans="1:6" ht="17.25" thickTop="1"/>
  </sheetData>
  <sheetProtection algorithmName="SHA-512" hashValue="dyfB1WuB9wHinc2ykyp0MgrMHO4yTX57vI3xzIYTcFG3G07LzPaPOHZddPM/JmFFAzhPW9eKSHA55OswgcMUdw==" saltValue="McmtjMyaZY8wmY2FtiOg6A==" spinCount="100000" sheet="1" objects="1" scenarios="1"/>
  <mergeCells count="15">
    <mergeCell ref="A22:C22"/>
    <mergeCell ref="D22:E22"/>
    <mergeCell ref="A23:F23"/>
    <mergeCell ref="A14:F14"/>
    <mergeCell ref="A8:F8"/>
    <mergeCell ref="C11:F11"/>
    <mergeCell ref="C12:F12"/>
    <mergeCell ref="C13:F13"/>
    <mergeCell ref="A15:F20"/>
    <mergeCell ref="A21:F21"/>
    <mergeCell ref="A2:F2"/>
    <mergeCell ref="A3:F3"/>
    <mergeCell ref="E4:F4"/>
    <mergeCell ref="A5:F5"/>
    <mergeCell ref="A6:B7"/>
  </mergeCells>
  <phoneticPr fontId="1" type="noConversion"/>
  <pageMargins left="0.7" right="0.7" top="0.75" bottom="0.75" header="0.3" footer="0.3"/>
  <pageSetup paperSize="9" scale="79" orientation="portrait"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8DDA2-D3A2-418A-9EAA-E13A527EF3D9}">
  <sheetPr>
    <tabColor theme="5"/>
  </sheetPr>
  <dimension ref="A1:F24"/>
  <sheetViews>
    <sheetView view="pageBreakPreview" zoomScale="85" zoomScaleNormal="100" zoomScaleSheetLayoutView="85" workbookViewId="0">
      <selection activeCell="C10" sqref="C10"/>
    </sheetView>
  </sheetViews>
  <sheetFormatPr defaultRowHeight="16.5"/>
  <cols>
    <col min="1" max="1" width="21.75" style="507" customWidth="1"/>
    <col min="2" max="2" width="4.875" style="507" customWidth="1"/>
    <col min="3" max="3" width="17.25" style="507" customWidth="1"/>
    <col min="4" max="4" width="24.625" style="507" customWidth="1"/>
    <col min="5" max="5" width="13.875" style="507" customWidth="1"/>
    <col min="6" max="6" width="18.75" style="507" customWidth="1"/>
    <col min="7" max="16384" width="9" style="161"/>
  </cols>
  <sheetData>
    <row r="1" spans="1:6" s="507" customFormat="1" ht="35.25" customHeight="1" thickTop="1">
      <c r="A1" s="519"/>
      <c r="B1" s="520"/>
      <c r="C1" s="521"/>
      <c r="D1" s="521"/>
      <c r="E1" s="521"/>
      <c r="F1" s="522"/>
    </row>
    <row r="2" spans="1:6" s="507" customFormat="1" ht="35.25" customHeight="1">
      <c r="A2" s="1772" t="s">
        <v>360</v>
      </c>
      <c r="B2" s="1773"/>
      <c r="C2" s="1773"/>
      <c r="D2" s="1773"/>
      <c r="E2" s="1773"/>
      <c r="F2" s="1774"/>
    </row>
    <row r="3" spans="1:6" s="507" customFormat="1" ht="35.25" customHeight="1">
      <c r="A3" s="1775"/>
      <c r="B3" s="1776"/>
      <c r="C3" s="1776"/>
      <c r="D3" s="1776"/>
      <c r="E3" s="1776"/>
      <c r="F3" s="1777"/>
    </row>
    <row r="4" spans="1:6" s="507" customFormat="1" ht="35.25" customHeight="1">
      <c r="A4" s="523" t="s">
        <v>340</v>
      </c>
      <c r="B4" s="524"/>
      <c r="C4" s="525" t="s">
        <v>341</v>
      </c>
      <c r="D4" s="509">
        <f>데이터입력!Y2</f>
        <v>46002</v>
      </c>
      <c r="E4" s="1712"/>
      <c r="F4" s="1778"/>
    </row>
    <row r="5" spans="1:6" s="507" customFormat="1" ht="35.25" customHeight="1">
      <c r="A5" s="1779" t="s">
        <v>342</v>
      </c>
      <c r="B5" s="1715"/>
      <c r="C5" s="1715"/>
      <c r="D5" s="1715"/>
      <c r="E5" s="1715"/>
      <c r="F5" s="1780"/>
    </row>
    <row r="6" spans="1:6" s="507" customFormat="1" ht="35.25" customHeight="1">
      <c r="A6" s="1781" t="s">
        <v>343</v>
      </c>
      <c r="B6" s="1701"/>
      <c r="C6" s="510" t="s">
        <v>344</v>
      </c>
      <c r="D6" s="511" t="str">
        <f>데이터입력!AB1</f>
        <v>(주)실버랜드</v>
      </c>
      <c r="E6" s="510" t="s">
        <v>345</v>
      </c>
      <c r="F6" s="526" t="str">
        <f>IF(데이터입력!$AE$1="","",데이터입력!$AE$1)</f>
        <v>이민희</v>
      </c>
    </row>
    <row r="7" spans="1:6" s="507" customFormat="1" ht="35.25" customHeight="1" thickBot="1">
      <c r="A7" s="1782"/>
      <c r="B7" s="1703"/>
      <c r="C7" s="513" t="s">
        <v>346</v>
      </c>
      <c r="D7" s="514"/>
      <c r="E7" s="513" t="s">
        <v>347</v>
      </c>
      <c r="F7" s="527"/>
    </row>
    <row r="8" spans="1:6" s="507" customFormat="1" ht="35.25" customHeight="1">
      <c r="A8" s="1792"/>
      <c r="B8" s="1793"/>
      <c r="C8" s="1793"/>
      <c r="D8" s="1793"/>
      <c r="E8" s="1793"/>
      <c r="F8" s="1794"/>
    </row>
    <row r="9" spans="1:6" s="507" customFormat="1" ht="35.25" customHeight="1">
      <c r="A9" s="528" t="s">
        <v>363</v>
      </c>
      <c r="B9" s="529"/>
      <c r="C9" s="768">
        <f>IF(데이터입력!H80&gt;0,데이터입력!H80,데이터입력!$AI$94)</f>
        <v>0</v>
      </c>
      <c r="D9" s="766" t="s">
        <v>686</v>
      </c>
      <c r="E9" s="766"/>
      <c r="F9" s="767"/>
    </row>
    <row r="10" spans="1:6" s="507" customFormat="1" ht="35.25" customHeight="1">
      <c r="A10" s="528" t="s">
        <v>364</v>
      </c>
      <c r="B10" s="529"/>
      <c r="C10" s="765">
        <f>데이터입력!$Z$8</f>
        <v>46023</v>
      </c>
      <c r="D10" s="762" t="str">
        <f>"~   "&amp;데이터입력!$Y$1&amp;"-12-31"</f>
        <v>~   2026-12-31</v>
      </c>
      <c r="E10" s="766"/>
      <c r="F10" s="767"/>
    </row>
    <row r="11" spans="1:6" s="507" customFormat="1" ht="35.25" customHeight="1">
      <c r="A11" s="528" t="s">
        <v>365</v>
      </c>
      <c r="B11" s="529"/>
      <c r="C11" s="1795" t="s">
        <v>369</v>
      </c>
      <c r="D11" s="1795"/>
      <c r="E11" s="1795"/>
      <c r="F11" s="1796"/>
    </row>
    <row r="12" spans="1:6" s="507" customFormat="1" ht="35.25" customHeight="1">
      <c r="A12" s="528" t="s">
        <v>366</v>
      </c>
      <c r="B12" s="529"/>
      <c r="C12" s="1795" t="s">
        <v>362</v>
      </c>
      <c r="D12" s="1795"/>
      <c r="E12" s="1795"/>
      <c r="F12" s="1796"/>
    </row>
    <row r="13" spans="1:6" s="507" customFormat="1" ht="35.25" customHeight="1">
      <c r="A13" s="528" t="s">
        <v>367</v>
      </c>
      <c r="B13" s="529"/>
      <c r="C13" s="1795" t="str">
        <f>데이터입력!$AB$1&amp;" 본 회계에서 지출처리 후 특별회계로 운영"</f>
        <v>(주)실버랜드 본 회계에서 지출처리 후 특별회계로 운영</v>
      </c>
      <c r="D13" s="1795"/>
      <c r="E13" s="1795"/>
      <c r="F13" s="1796"/>
    </row>
    <row r="14" spans="1:6" s="507" customFormat="1" ht="15.75" customHeight="1">
      <c r="A14" s="1789"/>
      <c r="B14" s="1790"/>
      <c r="C14" s="1790"/>
      <c r="D14" s="1790"/>
      <c r="E14" s="1790"/>
      <c r="F14" s="1791"/>
    </row>
    <row r="15" spans="1:6" s="507" customFormat="1" ht="44.25" customHeight="1">
      <c r="A15" s="1797" t="str">
        <f>"중장기적인 계획을 가지고 시설환경개선준비금을 적립하여야 지속적인 노인복지사업을 유지할 수 있다고 판단되어 이를 적립하고자 함.
 적립금액의 범위는 시설운영과 인건비를 지급하는데 영향을 미치지 않는 범위 내에서 적립금액을 결정하였음.
 적립방식은 사용용도가 발생할 경우 손실이 발생하지 않고 중도해지 또는 인출하여 사용이 가능한 방식으로 적립하고자 함.
 위 적립금은 "&amp;데이터입력!Y1&amp;"년도 세출예산에 편성하여 운영위원회 보고 및 이사회의 승인을 득한 후 집행하기로 함."</f>
        <v>중장기적인 계획을 가지고 시설환경개선준비금을 적립하여야 지속적인 노인복지사업을 유지할 수 있다고 판단되어 이를 적립하고자 함.
 적립금액의 범위는 시설운영과 인건비를 지급하는데 영향을 미치지 않는 범위 내에서 적립금액을 결정하였음.
 적립방식은 사용용도가 발생할 경우 손실이 발생하지 않고 중도해지 또는 인출하여 사용이 가능한 방식으로 적립하고자 함.
 위 적립금은 2026년도 세출예산에 편성하여 운영위원회 보고 및 이사회의 승인을 득한 후 집행하기로 함.</v>
      </c>
      <c r="B15" s="1798"/>
      <c r="C15" s="1798"/>
      <c r="D15" s="1798"/>
      <c r="E15" s="1798"/>
      <c r="F15" s="1799"/>
    </row>
    <row r="16" spans="1:6" s="507" customFormat="1" ht="44.25" customHeight="1">
      <c r="A16" s="1797"/>
      <c r="B16" s="1798"/>
      <c r="C16" s="1798"/>
      <c r="D16" s="1798"/>
      <c r="E16" s="1798"/>
      <c r="F16" s="1799"/>
    </row>
    <row r="17" spans="1:6" s="507" customFormat="1" ht="44.25" customHeight="1">
      <c r="A17" s="1797"/>
      <c r="B17" s="1798"/>
      <c r="C17" s="1798"/>
      <c r="D17" s="1798"/>
      <c r="E17" s="1798"/>
      <c r="F17" s="1799"/>
    </row>
    <row r="18" spans="1:6" s="507" customFormat="1" ht="44.25" customHeight="1">
      <c r="A18" s="1797"/>
      <c r="B18" s="1798"/>
      <c r="C18" s="1798"/>
      <c r="D18" s="1798"/>
      <c r="E18" s="1798"/>
      <c r="F18" s="1799"/>
    </row>
    <row r="19" spans="1:6" s="507" customFormat="1" ht="44.25" customHeight="1">
      <c r="A19" s="1797"/>
      <c r="B19" s="1798"/>
      <c r="C19" s="1798"/>
      <c r="D19" s="1798"/>
      <c r="E19" s="1798"/>
      <c r="F19" s="1799"/>
    </row>
    <row r="20" spans="1:6" s="507" customFormat="1" ht="44.25" customHeight="1">
      <c r="A20" s="1797"/>
      <c r="B20" s="1798"/>
      <c r="C20" s="1798"/>
      <c r="D20" s="1798"/>
      <c r="E20" s="1798"/>
      <c r="F20" s="1799"/>
    </row>
    <row r="21" spans="1:6" s="507" customFormat="1" ht="35.25" customHeight="1">
      <c r="A21" s="1800">
        <f>D4</f>
        <v>46002</v>
      </c>
      <c r="B21" s="1801"/>
      <c r="C21" s="1802"/>
      <c r="D21" s="1802"/>
      <c r="E21" s="1802"/>
      <c r="F21" s="1803"/>
    </row>
    <row r="22" spans="1:6" s="507" customFormat="1" ht="62.25" customHeight="1">
      <c r="A22" s="1783" t="s">
        <v>343</v>
      </c>
      <c r="B22" s="1784"/>
      <c r="C22" s="1784"/>
      <c r="D22" s="1785" t="str">
        <f>F6</f>
        <v>이민희</v>
      </c>
      <c r="E22" s="1785"/>
      <c r="F22" s="530" t="s">
        <v>355</v>
      </c>
    </row>
    <row r="23" spans="1:6" s="507" customFormat="1" ht="50.25" customHeight="1" thickBot="1">
      <c r="A23" s="1786"/>
      <c r="B23" s="1787"/>
      <c r="C23" s="1787"/>
      <c r="D23" s="1787"/>
      <c r="E23" s="1787"/>
      <c r="F23" s="1788"/>
    </row>
    <row r="24" spans="1:6" ht="17.25" thickTop="1"/>
  </sheetData>
  <sheetProtection algorithmName="SHA-512" hashValue="x1moKWAruGQ+BDxsJkVjOpmdJRdyljh1ufgXLBIfuCkKIgnwnZabUzTzXE6TEtxWZt9ohj4b+694UAiTQJvDmA==" saltValue="kCltSn6pXSrdt5L7uaCcaA==" spinCount="100000" sheet="1" objects="1" scenarios="1"/>
  <mergeCells count="15">
    <mergeCell ref="A15:F20"/>
    <mergeCell ref="A21:F21"/>
    <mergeCell ref="A22:C22"/>
    <mergeCell ref="D22:E22"/>
    <mergeCell ref="A23:F23"/>
    <mergeCell ref="A14:F14"/>
    <mergeCell ref="A2:F2"/>
    <mergeCell ref="A3:F3"/>
    <mergeCell ref="E4:F4"/>
    <mergeCell ref="A5:F5"/>
    <mergeCell ref="A6:B7"/>
    <mergeCell ref="A8:F8"/>
    <mergeCell ref="C11:F11"/>
    <mergeCell ref="C12:F12"/>
    <mergeCell ref="C13:F13"/>
  </mergeCells>
  <phoneticPr fontId="1" type="noConversion"/>
  <pageMargins left="0.7" right="0.7" top="0.75" bottom="0.75" header="0.3" footer="0.3"/>
  <pageSetup paperSize="9" scale="79" orientation="portrait"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0560E-21A7-412B-A439-2A14CBEBDECB}">
  <sheetPr>
    <tabColor theme="7"/>
  </sheetPr>
  <dimension ref="A1:AX264"/>
  <sheetViews>
    <sheetView workbookViewId="0">
      <selection sqref="A1:XFD1048576"/>
    </sheetView>
  </sheetViews>
  <sheetFormatPr defaultRowHeight="16.5"/>
  <cols>
    <col min="1" max="1" width="15.875" style="451" customWidth="1"/>
    <col min="2" max="6" width="13.125" style="451" customWidth="1"/>
    <col min="7" max="9" width="12.75" style="451" customWidth="1"/>
    <col min="10" max="10" width="5.5" style="161" customWidth="1"/>
    <col min="11" max="11" width="7.5" customWidth="1"/>
    <col min="12" max="12" width="14.625" customWidth="1"/>
    <col min="13" max="13" width="14.875" customWidth="1"/>
    <col min="14" max="14" width="24.25" customWidth="1"/>
    <col min="15" max="15" width="23.75" customWidth="1"/>
    <col min="16" max="16" width="16.125" customWidth="1"/>
    <col min="17" max="17" width="18.75" customWidth="1"/>
    <col min="18" max="18" width="16.75" customWidth="1"/>
    <col min="19" max="19" width="3.625" style="8" customWidth="1"/>
    <col min="20" max="20" width="7.5" customWidth="1"/>
    <col min="21" max="21" width="14.625" customWidth="1"/>
    <col min="22" max="22" width="14.875" customWidth="1"/>
    <col min="23" max="23" width="24.25" customWidth="1"/>
    <col min="24" max="24" width="23.75" customWidth="1"/>
    <col min="25" max="25" width="16.125" customWidth="1"/>
    <col min="26" max="26" width="18.75" customWidth="1"/>
    <col min="27" max="27" width="16.75" customWidth="1"/>
    <col min="28" max="28" width="3.625" style="8" customWidth="1"/>
    <col min="29" max="29" width="7.5" customWidth="1"/>
    <col min="30" max="30" width="14.625" customWidth="1"/>
    <col min="31" max="31" width="14.875" customWidth="1"/>
    <col min="32" max="32" width="24.25" customWidth="1"/>
    <col min="33" max="33" width="23.75" customWidth="1"/>
    <col min="34" max="34" width="16.125" customWidth="1"/>
    <col min="35" max="35" width="18.75" customWidth="1"/>
    <col min="36" max="36" width="16.75" customWidth="1"/>
    <col min="38" max="38" width="9" style="97"/>
    <col min="39" max="39" width="12.125" style="97" customWidth="1"/>
    <col min="40" max="40" width="11.625" style="97" customWidth="1"/>
    <col min="41" max="41" width="10.5" style="97" customWidth="1"/>
    <col min="42" max="42" width="12.625" style="97" customWidth="1"/>
    <col min="43" max="43" width="9.625" style="97" customWidth="1"/>
    <col min="44" max="45" width="10.75" style="97" customWidth="1"/>
    <col min="46" max="46" width="12.625" style="97" customWidth="1"/>
    <col min="47" max="48" width="12.625" style="97" hidden="1" customWidth="1"/>
    <col min="49" max="50" width="9" style="97"/>
  </cols>
  <sheetData>
    <row r="1" spans="1:50" ht="17.25" customHeight="1" thickBot="1">
      <c r="A1" s="629" t="s">
        <v>146</v>
      </c>
      <c r="B1" s="630">
        <f>IFERROR(IF(I2=TRUE,데이터입력!Y1,데이터입력!Y1+1),"")</f>
        <v>2027</v>
      </c>
      <c r="C1" s="631"/>
      <c r="D1" s="632" t="s">
        <v>147</v>
      </c>
      <c r="E1" s="633" t="str">
        <f>IF(데이터입력!AB1="","",데이터입력!AB1)</f>
        <v>(주)실버랜드</v>
      </c>
      <c r="F1" s="634"/>
      <c r="G1" s="632" t="s">
        <v>148</v>
      </c>
      <c r="H1" s="633" t="str">
        <f>IF(데이터입력!AE1="","",데이터입력!AE1)</f>
        <v>이민희</v>
      </c>
      <c r="I1" s="635"/>
      <c r="K1" s="1247"/>
      <c r="L1" s="1248"/>
      <c r="M1" s="1248"/>
      <c r="N1" s="1249"/>
      <c r="O1" s="166"/>
      <c r="P1" s="166"/>
      <c r="Q1" s="166"/>
      <c r="R1" s="166"/>
      <c r="S1" s="163"/>
      <c r="T1" s="1247"/>
      <c r="U1" s="1248"/>
      <c r="V1" s="1248"/>
      <c r="W1" s="1249"/>
      <c r="X1" s="166"/>
      <c r="Y1" s="166"/>
      <c r="Z1" s="166"/>
      <c r="AA1" s="166"/>
      <c r="AC1" s="1247"/>
      <c r="AD1" s="1248"/>
      <c r="AE1" s="1248"/>
      <c r="AF1" s="1249"/>
      <c r="AG1" s="8"/>
      <c r="AH1" s="8"/>
      <c r="AI1" s="8"/>
      <c r="AJ1" s="8"/>
      <c r="AL1" s="1074"/>
      <c r="AM1" s="1075"/>
      <c r="AN1" s="938"/>
      <c r="AO1" s="939"/>
      <c r="AP1" s="939"/>
      <c r="AQ1" s="939"/>
      <c r="AR1" s="939"/>
      <c r="AS1" s="939"/>
      <c r="AT1" s="939"/>
      <c r="AU1" s="939"/>
      <c r="AV1" s="939"/>
      <c r="AW1" s="161"/>
      <c r="AX1" s="161"/>
    </row>
    <row r="2" spans="1:50" ht="17.25" customHeight="1" thickBot="1">
      <c r="A2" s="777" t="s">
        <v>149</v>
      </c>
      <c r="B2" s="778"/>
      <c r="C2" s="779"/>
      <c r="D2" s="780" t="s">
        <v>150</v>
      </c>
      <c r="E2" s="781" t="str">
        <f>IF(AND(데이터입력!AC5=TRUE,데이터입력!AD5=FALSE),"",데이터입력!AB2)</f>
        <v>시설</v>
      </c>
      <c r="F2" s="782" t="str">
        <f>IF(데이터입력!AC5=TRUE,데이터입력!AC4,"")</f>
        <v/>
      </c>
      <c r="G2" s="637" t="s">
        <v>151</v>
      </c>
      <c r="H2" s="595" t="str">
        <f>IF($I$2=TRUE,"추경","")</f>
        <v/>
      </c>
      <c r="I2" s="596" t="b">
        <v>0</v>
      </c>
      <c r="K2" s="1250"/>
      <c r="L2" s="1251"/>
      <c r="M2" s="1251"/>
      <c r="N2" s="1252"/>
      <c r="O2" s="166"/>
      <c r="P2" s="166"/>
      <c r="Q2" s="166"/>
      <c r="R2" s="166"/>
      <c r="S2" s="163"/>
      <c r="T2" s="1250"/>
      <c r="U2" s="1251"/>
      <c r="V2" s="1251"/>
      <c r="W2" s="1252"/>
      <c r="X2" s="166"/>
      <c r="Y2" s="166"/>
      <c r="Z2" s="166"/>
      <c r="AA2" s="166"/>
      <c r="AC2" s="1250"/>
      <c r="AD2" s="1251"/>
      <c r="AE2" s="1251"/>
      <c r="AF2" s="1252"/>
      <c r="AG2" s="8"/>
      <c r="AH2" s="8"/>
      <c r="AI2" s="8"/>
      <c r="AJ2" s="8"/>
      <c r="AL2" s="940"/>
      <c r="AM2" s="1056"/>
      <c r="AN2" s="1057"/>
      <c r="AO2" s="1058"/>
      <c r="AP2" s="940"/>
      <c r="AQ2" s="1076"/>
      <c r="AR2" s="1076"/>
      <c r="AS2" s="1076"/>
      <c r="AT2" s="1077"/>
      <c r="AU2" s="939"/>
      <c r="AV2" s="939"/>
      <c r="AW2" s="161"/>
      <c r="AX2" s="161"/>
    </row>
    <row r="3" spans="1:50" ht="17.25" customHeight="1" thickBot="1">
      <c r="A3" s="773" t="s">
        <v>157</v>
      </c>
      <c r="B3" s="783">
        <f>IF(I2=TRUE,데이터입력!Y8,12)</f>
        <v>12</v>
      </c>
      <c r="C3" s="784"/>
      <c r="D3" s="780" t="s">
        <v>217</v>
      </c>
      <c r="E3" s="781" t="str">
        <f>IF(데이터입력!AI1="","",데이터입력!AI1)</f>
        <v/>
      </c>
      <c r="F3" s="775"/>
      <c r="G3" s="641"/>
      <c r="H3" s="319" t="s">
        <v>693</v>
      </c>
      <c r="I3" s="802">
        <f>IF(데이터입력!$Y$8&lt;12,데이터입력!$Y$8,12)</f>
        <v>12</v>
      </c>
      <c r="K3" s="1250"/>
      <c r="L3" s="1251"/>
      <c r="M3" s="1251"/>
      <c r="N3" s="1252"/>
      <c r="O3" s="166"/>
      <c r="P3" s="166"/>
      <c r="Q3" s="166"/>
      <c r="R3" s="166"/>
      <c r="S3" s="163"/>
      <c r="T3" s="1250"/>
      <c r="U3" s="1251"/>
      <c r="V3" s="1251"/>
      <c r="W3" s="1252"/>
      <c r="X3" s="166"/>
      <c r="Y3" s="166"/>
      <c r="Z3" s="166"/>
      <c r="AA3" s="166"/>
      <c r="AC3" s="1250"/>
      <c r="AD3" s="1251"/>
      <c r="AE3" s="1251"/>
      <c r="AF3" s="1252"/>
      <c r="AG3" s="8"/>
      <c r="AH3" s="8"/>
      <c r="AI3" s="8"/>
      <c r="AJ3" s="8"/>
      <c r="AL3" s="941"/>
      <c r="AM3" s="1059"/>
      <c r="AN3" s="1059"/>
      <c r="AO3" s="1060"/>
      <c r="AP3" s="942"/>
      <c r="AQ3" s="943"/>
      <c r="AR3" s="943"/>
      <c r="AS3" s="943"/>
      <c r="AT3" s="944"/>
      <c r="AU3" s="939"/>
      <c r="AV3" s="939"/>
      <c r="AW3" s="161"/>
      <c r="AX3" s="161"/>
    </row>
    <row r="4" spans="1:50" ht="17.25" customHeight="1" thickBot="1">
      <c r="A4" s="642" t="str">
        <f>B1&amp;"년도 수급자수(전체)"</f>
        <v>2027년도 수급자수(전체)</v>
      </c>
      <c r="B4" s="643"/>
      <c r="C4" s="644">
        <f>데이터입력!Y24</f>
        <v>45</v>
      </c>
      <c r="D4" s="645" t="str">
        <f>B1&amp;"년도 수급자수(보조금)"</f>
        <v>2027년도 수급자수(보조금)</v>
      </c>
      <c r="E4" s="646"/>
      <c r="F4" s="647">
        <f>데이터입력!Y26</f>
        <v>12</v>
      </c>
      <c r="G4" s="648"/>
      <c r="H4" s="324" t="s">
        <v>694</v>
      </c>
      <c r="I4" s="804">
        <f>IF(데이터입력!$Y$8&lt;12,데이터입력!$Y$8,12)</f>
        <v>12</v>
      </c>
      <c r="K4" s="1253"/>
      <c r="L4" s="1254"/>
      <c r="M4" s="1254"/>
      <c r="N4" s="1255"/>
      <c r="O4" s="167"/>
      <c r="P4" s="167"/>
      <c r="Q4" s="167"/>
      <c r="R4" s="167"/>
      <c r="S4" s="163"/>
      <c r="T4" s="1253"/>
      <c r="U4" s="1254"/>
      <c r="V4" s="1254"/>
      <c r="W4" s="1255"/>
      <c r="X4" s="167"/>
      <c r="Y4" s="167"/>
      <c r="Z4" s="167"/>
      <c r="AA4" s="167"/>
      <c r="AC4" s="1253"/>
      <c r="AD4" s="1254"/>
      <c r="AE4" s="1254"/>
      <c r="AF4" s="1255"/>
      <c r="AG4" s="8"/>
      <c r="AH4" s="8"/>
      <c r="AI4" s="8"/>
      <c r="AJ4" s="8"/>
      <c r="AL4" s="945"/>
      <c r="AM4" s="1061"/>
      <c r="AN4" s="1061"/>
      <c r="AO4" s="1062"/>
      <c r="AP4" s="946"/>
      <c r="AQ4" s="947"/>
      <c r="AR4" s="948"/>
      <c r="AS4" s="948"/>
      <c r="AT4" s="949"/>
      <c r="AU4" s="939"/>
      <c r="AV4" s="939"/>
      <c r="AW4" s="161"/>
      <c r="AX4" s="161"/>
    </row>
    <row r="5" spans="1:50" ht="34.5" customHeight="1" thickBot="1">
      <c r="A5" s="650" t="s">
        <v>230</v>
      </c>
      <c r="B5" s="651"/>
      <c r="C5" s="652"/>
      <c r="D5" s="653"/>
      <c r="E5" s="654"/>
      <c r="F5" s="654"/>
      <c r="G5" s="655"/>
      <c r="H5" s="655"/>
      <c r="I5" s="1316" t="str">
        <f>IF(데이터입력!$AH$5=TRUE,데이터입력!$AH$4,"")</f>
        <v/>
      </c>
      <c r="J5" s="161" t="s">
        <v>818</v>
      </c>
      <c r="K5" s="1063"/>
      <c r="L5" s="1064"/>
      <c r="M5" s="1064"/>
      <c r="N5" s="1064"/>
      <c r="O5" s="1064"/>
      <c r="P5" s="1064"/>
      <c r="Q5" s="1064"/>
      <c r="R5" s="1064"/>
      <c r="S5" s="164"/>
      <c r="T5" s="1065"/>
      <c r="U5" s="1066"/>
      <c r="V5" s="1066"/>
      <c r="W5" s="1066"/>
      <c r="X5" s="1066"/>
      <c r="Y5" s="1066"/>
      <c r="Z5" s="1066"/>
      <c r="AA5" s="1066"/>
      <c r="AB5" s="164"/>
      <c r="AC5" s="1067"/>
      <c r="AD5" s="1068"/>
      <c r="AE5" s="1068"/>
      <c r="AF5" s="1068"/>
      <c r="AG5" s="1068"/>
      <c r="AH5" s="1068"/>
      <c r="AI5" s="1068"/>
      <c r="AJ5" s="1068"/>
      <c r="AL5" s="1078"/>
      <c r="AM5" s="1079"/>
      <c r="AN5" s="950"/>
      <c r="AO5" s="951"/>
      <c r="AP5" s="940"/>
      <c r="AQ5" s="1076"/>
      <c r="AR5" s="1076"/>
      <c r="AS5" s="1076"/>
      <c r="AT5" s="1077"/>
      <c r="AU5" s="939"/>
      <c r="AV5" s="939"/>
      <c r="AW5" s="161"/>
      <c r="AX5" s="161"/>
    </row>
    <row r="6" spans="1:50" ht="17.25" thickBot="1">
      <c r="A6" s="626" t="s">
        <v>231</v>
      </c>
      <c r="B6" s="657">
        <f>IF($H$2="",IF($B$1=2024,예산평균!AD12,예산평균!AE12),데이터입력!AI17)</f>
        <v>0.63500000000000001</v>
      </c>
      <c r="C6" s="665">
        <f>IF($H$2="",IF($B$1=2024,2.3,2.1),데이터입력!AJ17)</f>
        <v>2.1</v>
      </c>
      <c r="D6" s="659" t="s">
        <v>644</v>
      </c>
      <c r="E6" s="660" t="str">
        <f>데이터입력!AB8</f>
        <v>00</v>
      </c>
      <c r="F6" s="661" t="s">
        <v>645</v>
      </c>
      <c r="G6" s="662" t="str">
        <f>데이터입력!AD8</f>
        <v>01</v>
      </c>
      <c r="H6" s="663" t="s">
        <v>646</v>
      </c>
      <c r="I6" s="664" t="str">
        <f>데이터입력!AF8</f>
        <v>00</v>
      </c>
      <c r="J6" s="161" t="s">
        <v>819</v>
      </c>
      <c r="K6" s="1069" t="s">
        <v>0</v>
      </c>
      <c r="L6" s="1071" t="s">
        <v>479</v>
      </c>
      <c r="M6" s="1072"/>
      <c r="N6" s="1072"/>
      <c r="O6" s="1073"/>
      <c r="P6" s="1071" t="s">
        <v>480</v>
      </c>
      <c r="Q6" s="1072"/>
      <c r="R6" s="1073"/>
      <c r="S6" s="165"/>
      <c r="T6" s="1069" t="s">
        <v>0</v>
      </c>
      <c r="U6" s="1071" t="s">
        <v>479</v>
      </c>
      <c r="V6" s="1072"/>
      <c r="W6" s="1072"/>
      <c r="X6" s="1073"/>
      <c r="Y6" s="1071" t="s">
        <v>480</v>
      </c>
      <c r="Z6" s="1072"/>
      <c r="AA6" s="1073"/>
      <c r="AB6" s="165"/>
      <c r="AC6" s="1069" t="s">
        <v>0</v>
      </c>
      <c r="AD6" s="1071" t="s">
        <v>479</v>
      </c>
      <c r="AE6" s="1072"/>
      <c r="AF6" s="1072"/>
      <c r="AG6" s="1073"/>
      <c r="AH6" s="1071" t="s">
        <v>480</v>
      </c>
      <c r="AI6" s="1072"/>
      <c r="AJ6" s="1073"/>
      <c r="AL6" s="1080"/>
      <c r="AM6" s="1081"/>
      <c r="AN6" s="952"/>
      <c r="AO6" s="953"/>
      <c r="AP6" s="942"/>
      <c r="AQ6" s="943"/>
      <c r="AR6" s="943"/>
      <c r="AS6" s="943"/>
      <c r="AT6" s="944"/>
      <c r="AU6" s="939"/>
      <c r="AV6" s="939"/>
      <c r="AW6" s="161"/>
      <c r="AX6" s="161"/>
    </row>
    <row r="7" spans="1:50" ht="17.25" thickBot="1">
      <c r="A7" s="627" t="s">
        <v>232</v>
      </c>
      <c r="B7" s="657">
        <f>IF($H$2="",IF($B$1=2024,예산평균!AD13,예산평균!AE13),데이터입력!AI18)</f>
        <v>0.66100000000000003</v>
      </c>
      <c r="C7" s="665">
        <f>데이터입력!AJ18</f>
        <v>3</v>
      </c>
      <c r="D7" s="1272" t="s">
        <v>158</v>
      </c>
      <c r="E7" s="1273"/>
      <c r="F7" s="1274" t="str">
        <f>데이터입력!AC9</f>
        <v>일반사업[일반]</v>
      </c>
      <c r="G7" s="1275"/>
      <c r="H7" s="1276"/>
      <c r="I7" s="671" t="s">
        <v>156</v>
      </c>
      <c r="K7" s="1070"/>
      <c r="L7" s="591" t="s">
        <v>376</v>
      </c>
      <c r="M7" s="591" t="s">
        <v>377</v>
      </c>
      <c r="N7" s="591" t="s">
        <v>378</v>
      </c>
      <c r="O7" s="591" t="s">
        <v>1</v>
      </c>
      <c r="P7" s="591" t="s">
        <v>481</v>
      </c>
      <c r="Q7" s="591" t="s">
        <v>482</v>
      </c>
      <c r="R7" s="591" t="s">
        <v>483</v>
      </c>
      <c r="S7" s="165"/>
      <c r="T7" s="1070"/>
      <c r="U7" s="591" t="s">
        <v>376</v>
      </c>
      <c r="V7" s="591" t="s">
        <v>377</v>
      </c>
      <c r="W7" s="591" t="s">
        <v>378</v>
      </c>
      <c r="X7" s="591" t="s">
        <v>1</v>
      </c>
      <c r="Y7" s="591" t="s">
        <v>481</v>
      </c>
      <c r="Z7" s="591" t="s">
        <v>482</v>
      </c>
      <c r="AA7" s="591" t="s">
        <v>483</v>
      </c>
      <c r="AB7" s="165"/>
      <c r="AC7" s="1070"/>
      <c r="AD7" s="591" t="s">
        <v>376</v>
      </c>
      <c r="AE7" s="591" t="s">
        <v>377</v>
      </c>
      <c r="AF7" s="591" t="s">
        <v>378</v>
      </c>
      <c r="AG7" s="591" t="s">
        <v>1</v>
      </c>
      <c r="AH7" s="591" t="s">
        <v>481</v>
      </c>
      <c r="AI7" s="591" t="s">
        <v>482</v>
      </c>
      <c r="AJ7" s="591" t="s">
        <v>483</v>
      </c>
      <c r="AL7" s="1084"/>
      <c r="AM7" s="1085"/>
      <c r="AN7" s="954"/>
      <c r="AO7" s="955"/>
      <c r="AP7" s="956"/>
      <c r="AQ7" s="957"/>
      <c r="AR7" s="957"/>
      <c r="AS7" s="957"/>
      <c r="AT7" s="958"/>
      <c r="AU7" s="939"/>
      <c r="AV7" s="939"/>
      <c r="AW7" s="161"/>
      <c r="AX7" s="161"/>
    </row>
    <row r="8" spans="1:50" ht="18" customHeight="1" thickBot="1">
      <c r="A8" s="627" t="s">
        <v>233</v>
      </c>
      <c r="B8" s="657">
        <f>IF($H$2="",IF($B$1=2024,예산평균!AD14,예산평균!AE14),데이터입력!AI19)</f>
        <v>0.495</v>
      </c>
      <c r="C8" s="1270">
        <f>데이터입력!AJ19</f>
        <v>7</v>
      </c>
      <c r="D8" s="1259">
        <f>데이터입력!U7</f>
        <v>4</v>
      </c>
      <c r="E8" s="1281">
        <f>데이터입력!V10</f>
        <v>30.4</v>
      </c>
      <c r="F8" s="1281">
        <f>데이터입력!V13</f>
        <v>21</v>
      </c>
      <c r="G8" s="1260">
        <f>데이터입력!U22</f>
        <v>0</v>
      </c>
      <c r="H8" s="1261">
        <f>데이터입력!U27</f>
        <v>0</v>
      </c>
      <c r="I8" s="1267">
        <f>데이터입력!AF10</f>
        <v>1</v>
      </c>
      <c r="K8" s="197"/>
      <c r="L8" s="5"/>
      <c r="M8" s="5"/>
      <c r="N8" s="5"/>
      <c r="O8" s="5" t="str">
        <f>IFERROR(IF(예산업로드양식!E3="","",IF(예산업로드양식!F3="06",예산업로드양식!E3,"")),"")</f>
        <v>본인부담금수입</v>
      </c>
      <c r="P8" s="6">
        <f>IFERROR(IF(예산업로드양식!H3="","",IF(예산업로드양식!F3="06",예산업로드양식!H3,"")),"")</f>
        <v>202560000</v>
      </c>
      <c r="Q8" s="6">
        <f>P8</f>
        <v>202560000</v>
      </c>
      <c r="R8" s="6"/>
      <c r="S8" s="165"/>
      <c r="T8" s="197"/>
      <c r="U8" s="5"/>
      <c r="V8" s="5"/>
      <c r="W8" s="5"/>
      <c r="X8" s="5" t="str">
        <f>IFERROR(IF(예산업로드양식!E3="","",IF(예산업로드양식!F3="07",예산업로드양식!E3,"")),"")</f>
        <v/>
      </c>
      <c r="Y8" s="6" t="str">
        <f>IFERROR(IF(예산업로드양식!H3="","",IF(예산업로드양식!F3="07",예산업로드양식!H3,"")),"")</f>
        <v/>
      </c>
      <c r="Z8" s="6" t="str">
        <f>Y8</f>
        <v/>
      </c>
      <c r="AA8" s="6"/>
      <c r="AB8" s="165"/>
      <c r="AC8" s="197"/>
      <c r="AD8" s="5"/>
      <c r="AE8" s="5"/>
      <c r="AF8" s="5"/>
      <c r="AG8" s="5" t="str">
        <f>IFERROR(IF(예산업로드양식!E3="","",IF(예산업로드양식!F3="05",예산업로드양식!E3,"")),"")</f>
        <v/>
      </c>
      <c r="AH8" s="6" t="str">
        <f>IFERROR(IF(예산업로드양식!H3="","",IF(예산업로드양식!F3="05",예산업로드양식!H3,"")),"")</f>
        <v/>
      </c>
      <c r="AI8" s="6"/>
      <c r="AJ8" s="6"/>
      <c r="AL8" s="1086" t="s">
        <v>721</v>
      </c>
      <c r="AM8" s="1087"/>
      <c r="AN8" s="1087"/>
      <c r="AO8" s="1087"/>
      <c r="AP8" s="1087"/>
      <c r="AQ8" s="1087"/>
      <c r="AR8" s="1087"/>
      <c r="AS8" s="1087"/>
      <c r="AT8" s="1087"/>
      <c r="AU8" s="939"/>
      <c r="AV8" s="939"/>
      <c r="AW8" s="161"/>
      <c r="AX8" s="161"/>
    </row>
    <row r="9" spans="1:50" ht="17.25" customHeight="1" thickBot="1">
      <c r="A9" s="627" t="s">
        <v>234</v>
      </c>
      <c r="B9" s="657">
        <f>IF($H$2="",IF($B$1=2024,예산평균!AD15,예산평균!AE15),데이터입력!AI20)</f>
        <v>0.59799999999999998</v>
      </c>
      <c r="C9" s="1270">
        <f>데이터입력!AJ20</f>
        <v>4</v>
      </c>
      <c r="D9" s="1262">
        <f>데이터입력!U8</f>
        <v>8</v>
      </c>
      <c r="E9" s="1263">
        <f>데이터입력!U13</f>
        <v>0</v>
      </c>
      <c r="F9" s="1263">
        <f>데이터입력!U18</f>
        <v>0</v>
      </c>
      <c r="G9" s="1263">
        <f>데이터입력!U23</f>
        <v>0</v>
      </c>
      <c r="H9" s="1264">
        <f>데이터입력!U28</f>
        <v>12</v>
      </c>
      <c r="I9" s="1326">
        <f>데이터입력!AB42</f>
        <v>0.65</v>
      </c>
      <c r="K9" s="40"/>
      <c r="L9" s="9"/>
      <c r="M9" s="9"/>
      <c r="N9" s="9"/>
      <c r="O9" s="9" t="str">
        <f>IFERROR(IF(예산업로드양식!E4="","",IF(예산업로드양식!F4="06",예산업로드양식!E4,"")),"")</f>
        <v>식재료비수입</v>
      </c>
      <c r="P9" s="10">
        <f>IFERROR(IF(예산업로드양식!H4="","",IF(예산업로드양식!F4="06",예산업로드양식!H4,"")),"")</f>
        <v>119180160</v>
      </c>
      <c r="Q9" s="10">
        <f>P9</f>
        <v>119180160</v>
      </c>
      <c r="R9" s="10"/>
      <c r="S9" s="165"/>
      <c r="T9" s="40"/>
      <c r="U9" s="9"/>
      <c r="V9" s="9"/>
      <c r="W9" s="9"/>
      <c r="X9" s="9" t="str">
        <f>IFERROR(IF(예산업로드양식!E4="","",IF(예산업로드양식!F4="07",예산업로드양식!E4,"")),"")</f>
        <v/>
      </c>
      <c r="Y9" s="10" t="str">
        <f>IFERROR(IF(예산업로드양식!H4="","",IF(예산업로드양식!F4="07",예산업로드양식!H4,"")),"")</f>
        <v/>
      </c>
      <c r="Z9" s="10" t="str">
        <f>Y9</f>
        <v/>
      </c>
      <c r="AA9" s="10"/>
      <c r="AB9" s="165"/>
      <c r="AC9" s="40"/>
      <c r="AD9" s="9"/>
      <c r="AE9" s="9"/>
      <c r="AF9" s="9"/>
      <c r="AG9" s="9" t="str">
        <f>IFERROR(IF(예산업로드양식!E4="","",IF(예산업로드양식!F4="05",예산업로드양식!E4,"")),"")</f>
        <v/>
      </c>
      <c r="AH9" s="10" t="str">
        <f>IFERROR(IF(예산업로드양식!H4="","",IF(예산업로드양식!F4="05",예산업로드양식!H4,"")),"")</f>
        <v/>
      </c>
      <c r="AI9" s="10"/>
      <c r="AJ9" s="10"/>
      <c r="AL9" s="1088"/>
      <c r="AM9" s="1089"/>
      <c r="AN9" s="1089"/>
      <c r="AO9" s="1089"/>
      <c r="AP9" s="1089"/>
      <c r="AQ9" s="1089"/>
      <c r="AR9" s="1089"/>
      <c r="AS9" s="1089"/>
      <c r="AT9" s="1089"/>
      <c r="AU9" s="939"/>
      <c r="AV9" s="939"/>
      <c r="AW9" s="161"/>
      <c r="AX9" s="161"/>
    </row>
    <row r="10" spans="1:50" ht="24.75" thickBot="1">
      <c r="A10" s="627" t="s">
        <v>113</v>
      </c>
      <c r="B10" s="657">
        <f>IF($H$2="",IF($B$1=2024,예산평균!AD16,예산평균!AE16),데이터입력!AI21)</f>
        <v>0.876</v>
      </c>
      <c r="C10" s="1270">
        <f>데이터입력!AJ21</f>
        <v>1.5</v>
      </c>
      <c r="D10" s="1280">
        <f>데이터입력!V7</f>
        <v>30.4</v>
      </c>
      <c r="E10" s="1263">
        <f>데이터입력!U14</f>
        <v>0</v>
      </c>
      <c r="F10" s="1263">
        <f>데이터입력!U19</f>
        <v>0</v>
      </c>
      <c r="G10" s="1282">
        <f>데이터입력!V22</f>
        <v>21</v>
      </c>
      <c r="H10" s="1264">
        <f>데이터입력!U29</f>
        <v>1</v>
      </c>
      <c r="I10" s="1268"/>
      <c r="K10" s="41"/>
      <c r="L10" s="11"/>
      <c r="M10" s="11"/>
      <c r="N10" s="11"/>
      <c r="O10" s="11" t="str">
        <f>IFERROR(IF(예산업로드양식!E5="","",IF(예산업로드양식!F5="06",예산업로드양식!E5,"")),"")</f>
        <v>기타비급여수입</v>
      </c>
      <c r="P10" s="12">
        <f>IFERROR(IF(예산업로드양식!H5="","",IF(예산업로드양식!F5="06",예산업로드양식!H5,"")),"")</f>
        <v>36000000</v>
      </c>
      <c r="Q10" s="6">
        <f t="shared" ref="Q10:Q73" si="0">P10</f>
        <v>36000000</v>
      </c>
      <c r="R10" s="12"/>
      <c r="S10" s="165"/>
      <c r="T10" s="41"/>
      <c r="U10" s="11"/>
      <c r="V10" s="11"/>
      <c r="W10" s="11"/>
      <c r="X10" s="11" t="str">
        <f>IFERROR(IF(예산업로드양식!E5="","",IF(예산업로드양식!F5="07",예산업로드양식!E5,"")),"")</f>
        <v/>
      </c>
      <c r="Y10" s="12" t="str">
        <f>IFERROR(IF(예산업로드양식!H5="","",IF(예산업로드양식!F5="07",예산업로드양식!H5,"")),"")</f>
        <v/>
      </c>
      <c r="Z10" s="6" t="str">
        <f t="shared" ref="Z10:Z73" si="1">Y10</f>
        <v/>
      </c>
      <c r="AA10" s="12"/>
      <c r="AB10" s="165"/>
      <c r="AC10" s="41"/>
      <c r="AD10" s="11"/>
      <c r="AE10" s="11"/>
      <c r="AF10" s="11"/>
      <c r="AG10" s="11" t="str">
        <f>IFERROR(IF(예산업로드양식!E5="","",IF(예산업로드양식!F5="05",예산업로드양식!E5,"")),"")</f>
        <v/>
      </c>
      <c r="AH10" s="12" t="str">
        <f>IFERROR(IF(예산업로드양식!H5="","",IF(예산업로드양식!F5="05",예산업로드양식!H5,"")),"")</f>
        <v/>
      </c>
      <c r="AI10" s="12"/>
      <c r="AJ10" s="12"/>
      <c r="AL10" s="959" t="s">
        <v>454</v>
      </c>
      <c r="AM10" s="960" t="s">
        <v>719</v>
      </c>
      <c r="AN10" s="960" t="s">
        <v>250</v>
      </c>
      <c r="AO10" s="961" t="s">
        <v>431</v>
      </c>
      <c r="AP10" s="962" t="s">
        <v>459</v>
      </c>
      <c r="AQ10" s="963" t="s">
        <v>432</v>
      </c>
      <c r="AR10" s="960" t="s">
        <v>457</v>
      </c>
      <c r="AS10" s="961" t="s">
        <v>458</v>
      </c>
      <c r="AT10" s="962" t="s">
        <v>460</v>
      </c>
      <c r="AU10" s="962" t="s">
        <v>690</v>
      </c>
      <c r="AV10" s="962" t="s">
        <v>691</v>
      </c>
      <c r="AW10" s="964" t="s">
        <v>461</v>
      </c>
      <c r="AX10" s="965" t="s">
        <v>462</v>
      </c>
    </row>
    <row r="11" spans="1:50" ht="22.5">
      <c r="A11" s="627" t="s">
        <v>116</v>
      </c>
      <c r="B11" s="657">
        <f>IF($H$2="",IF($B$1=2024,예산평균!AD17,예산평균!AE17),데이터입력!AI22)</f>
        <v>0.50600000000000001</v>
      </c>
      <c r="C11" s="1270">
        <f>데이터입력!AJ22</f>
        <v>2</v>
      </c>
      <c r="D11" s="1262">
        <f>데이터입력!U10</f>
        <v>0</v>
      </c>
      <c r="E11" s="1263">
        <f>데이터입력!U15</f>
        <v>0</v>
      </c>
      <c r="F11" s="1263">
        <f>데이터입력!U20</f>
        <v>0</v>
      </c>
      <c r="G11" s="1263">
        <f>데이터입력!U25</f>
        <v>0</v>
      </c>
      <c r="H11" s="1264"/>
      <c r="I11" s="1268"/>
      <c r="K11" s="40"/>
      <c r="L11" s="9"/>
      <c r="M11" s="9"/>
      <c r="N11" s="9"/>
      <c r="O11" s="9" t="str">
        <f>IFERROR(IF(예산업로드양식!E6="","",IF(예산업로드양식!F6="06",예산업로드양식!E6,"")),"")</f>
        <v>장기요양급여수입(인건비비율 반영)</v>
      </c>
      <c r="P11" s="10">
        <f>IFERROR(IF(예산업로드양식!H6="","",IF(예산업로드양식!F6="06",예산업로드양식!H6,"")),"")</f>
        <v>1193796000</v>
      </c>
      <c r="Q11" s="10">
        <f t="shared" si="0"/>
        <v>1193796000</v>
      </c>
      <c r="R11" s="10"/>
      <c r="S11" s="165"/>
      <c r="T11" s="40"/>
      <c r="U11" s="9"/>
      <c r="V11" s="9"/>
      <c r="W11" s="9"/>
      <c r="X11" s="9" t="str">
        <f>IFERROR(IF(예산업로드양식!E6="","",IF(예산업로드양식!F6="07",예산업로드양식!E6,"")),"")</f>
        <v/>
      </c>
      <c r="Y11" s="10" t="str">
        <f>IFERROR(IF(예산업로드양식!H6="","",IF(예산업로드양식!F6="07",예산업로드양식!H6,"")),"")</f>
        <v/>
      </c>
      <c r="Z11" s="10" t="str">
        <f t="shared" si="1"/>
        <v/>
      </c>
      <c r="AA11" s="10"/>
      <c r="AB11" s="165"/>
      <c r="AC11" s="40"/>
      <c r="AD11" s="9"/>
      <c r="AE11" s="9"/>
      <c r="AF11" s="9"/>
      <c r="AG11" s="9" t="str">
        <f>IFERROR(IF(예산업로드양식!E6="","",IF(예산업로드양식!F6="05",예산업로드양식!E6,"")),"")</f>
        <v/>
      </c>
      <c r="AH11" s="10" t="str">
        <f>IFERROR(IF(예산업로드양식!H6="","",IF(예산업로드양식!F6="05",예산업로드양식!H6,"")),"")</f>
        <v/>
      </c>
      <c r="AI11" s="10"/>
      <c r="AJ11" s="10"/>
      <c r="AL11" s="981" t="e">
        <f>IF(#REF!="","",#REF!)</f>
        <v>#REF!</v>
      </c>
      <c r="AM11" s="982" t="e">
        <f>IF(#REF!="","",#REF!)</f>
        <v>#REF!</v>
      </c>
      <c r="AN11" s="983" t="e">
        <f>IF(AND(#REF!="",#REF!=1),"",#REF!)</f>
        <v>#REF!</v>
      </c>
      <c r="AO11" s="984" t="e">
        <f>IF(#REF!="","",#REF!)</f>
        <v>#REF!</v>
      </c>
      <c r="AP11" s="971" t="e">
        <f>IF(#REF!="","",#REF!)</f>
        <v>#REF!</v>
      </c>
      <c r="AQ11" s="985" t="e">
        <f>IF(#REF!="","",#REF!)</f>
        <v>#REF!</v>
      </c>
      <c r="AR11" s="973" t="e">
        <f>IF(#REF!="","",#REF!)</f>
        <v>#REF!</v>
      </c>
      <c r="AS11" s="974" t="e">
        <f>IF(#REF!="","",#REF!)</f>
        <v>#REF!</v>
      </c>
      <c r="AT11" s="975" t="e">
        <f>IF(#REF!="","",#REF!)</f>
        <v>#REF!</v>
      </c>
      <c r="AU11" s="976" t="e">
        <f>IF(#REF!="","",#REF!)</f>
        <v>#REF!</v>
      </c>
      <c r="AV11" s="977" t="e">
        <f>IF(#REF!="","",#REF!)</f>
        <v>#REF!</v>
      </c>
      <c r="AW11" s="986" t="e">
        <f>IF(#REF!="","",#REF!)</f>
        <v>#REF!</v>
      </c>
      <c r="AX11" s="987" t="e">
        <f>IF(#REF!="","",#REF!)</f>
        <v>#REF!</v>
      </c>
    </row>
    <row r="12" spans="1:50" ht="17.25" thickBot="1">
      <c r="A12" s="786" t="s">
        <v>119</v>
      </c>
      <c r="B12" s="657">
        <f>IF($H$2="",IF($B$1=2024,예산평균!AD18,예산평균!AE18),데이터입력!AI23)</f>
        <v>0.61099999999999999</v>
      </c>
      <c r="C12" s="1270">
        <f>데이터입력!AJ23</f>
        <v>1.5</v>
      </c>
      <c r="D12" s="1265">
        <f>데이터입력!U11</f>
        <v>0</v>
      </c>
      <c r="E12" s="1266">
        <f>데이터입력!U16</f>
        <v>0</v>
      </c>
      <c r="F12" s="1283">
        <f>데이터입력!V19</f>
        <v>15</v>
      </c>
      <c r="G12" s="1266">
        <f>데이터입력!U26</f>
        <v>0</v>
      </c>
      <c r="H12" s="1285">
        <f>데이터입력!U34</f>
        <v>3</v>
      </c>
      <c r="I12" s="1269"/>
      <c r="K12" s="41"/>
      <c r="L12" s="11"/>
      <c r="M12" s="11"/>
      <c r="N12" s="11"/>
      <c r="O12" s="11" t="str">
        <f>IFERROR(IF(예산업로드양식!E7="","",IF(예산업로드양식!F7="06",예산업로드양식!E7,"")),"")</f>
        <v>가산금수입(인건비비율 반영)</v>
      </c>
      <c r="P12" s="12">
        <f>IFERROR(IF(예산업로드양식!H7="","",IF(예산업로드양식!F7="06",예산업로드양식!H7,"")),"")</f>
        <v>79200000</v>
      </c>
      <c r="Q12" s="6">
        <f t="shared" si="0"/>
        <v>79200000</v>
      </c>
      <c r="R12" s="12"/>
      <c r="S12" s="165"/>
      <c r="T12" s="41"/>
      <c r="U12" s="11"/>
      <c r="V12" s="11"/>
      <c r="W12" s="11"/>
      <c r="X12" s="11" t="str">
        <f>IFERROR(IF(예산업로드양식!E7="","",IF(예산업로드양식!F7="07",예산업로드양식!E7,"")),"")</f>
        <v/>
      </c>
      <c r="Y12" s="12" t="str">
        <f>IFERROR(IF(예산업로드양식!H7="","",IF(예산업로드양식!F7="07",예산업로드양식!H7,"")),"")</f>
        <v/>
      </c>
      <c r="Z12" s="6" t="str">
        <f t="shared" si="1"/>
        <v/>
      </c>
      <c r="AA12" s="12"/>
      <c r="AB12" s="165"/>
      <c r="AC12" s="41"/>
      <c r="AD12" s="11"/>
      <c r="AE12" s="11"/>
      <c r="AF12" s="11"/>
      <c r="AG12" s="11" t="str">
        <f>IFERROR(IF(예산업로드양식!E7="","",IF(예산업로드양식!F7="05",예산업로드양식!E7,"")),"")</f>
        <v/>
      </c>
      <c r="AH12" s="12" t="str">
        <f>IFERROR(IF(예산업로드양식!H7="","",IF(예산업로드양식!F7="05",예산업로드양식!H7,"")),"")</f>
        <v/>
      </c>
      <c r="AI12" s="12"/>
      <c r="AJ12" s="12"/>
      <c r="AL12" s="981" t="e">
        <f>IF(#REF!="","",#REF!)</f>
        <v>#REF!</v>
      </c>
      <c r="AM12" s="982" t="e">
        <f>IF(#REF!="","",#REF!)</f>
        <v>#REF!</v>
      </c>
      <c r="AN12" s="983" t="e">
        <f>IF(AND(#REF!="",#REF!=1),"",#REF!)</f>
        <v>#REF!</v>
      </c>
      <c r="AO12" s="984" t="e">
        <f>IF(#REF!="","",#REF!)</f>
        <v>#REF!</v>
      </c>
      <c r="AP12" s="971" t="e">
        <f>IF(#REF!="","",#REF!)</f>
        <v>#REF!</v>
      </c>
      <c r="AQ12" s="985" t="e">
        <f>IF(#REF!="","",#REF!)</f>
        <v>#REF!</v>
      </c>
      <c r="AR12" s="973" t="e">
        <f>IF(#REF!="","",#REF!)</f>
        <v>#REF!</v>
      </c>
      <c r="AS12" s="974" t="e">
        <f>IF(#REF!="","",#REF!)</f>
        <v>#REF!</v>
      </c>
      <c r="AT12" s="975" t="e">
        <f>IF(#REF!="","",#REF!)</f>
        <v>#REF!</v>
      </c>
      <c r="AU12" s="976" t="e">
        <f>IF(#REF!="","",#REF!)</f>
        <v>#REF!</v>
      </c>
      <c r="AV12" s="977" t="e">
        <f>IF(#REF!="","",#REF!)</f>
        <v>#REF!</v>
      </c>
      <c r="AW12" s="986" t="e">
        <f>IF(#REF!="","",#REF!)</f>
        <v>#REF!</v>
      </c>
      <c r="AX12" s="987" t="e">
        <f>IF(#REF!="","",#REF!)</f>
        <v>#REF!</v>
      </c>
    </row>
    <row r="13" spans="1:50" ht="17.25" thickBot="1">
      <c r="A13" s="787" t="s">
        <v>687</v>
      </c>
      <c r="B13" s="788">
        <f>데이터입력!T34</f>
        <v>3300</v>
      </c>
      <c r="C13" s="676" t="s">
        <v>268</v>
      </c>
      <c r="D13" s="1271"/>
      <c r="E13" s="1271"/>
      <c r="F13" s="1271"/>
      <c r="G13" s="1271"/>
      <c r="H13" s="1271"/>
      <c r="I13" s="678"/>
      <c r="K13" s="40"/>
      <c r="L13" s="9"/>
      <c r="M13" s="9"/>
      <c r="N13" s="9"/>
      <c r="O13" s="9" t="str">
        <f>IFERROR(IF(예산업로드양식!E8="","",IF(예산업로드양식!F8="06",예산업로드양식!E8,"")),"")</f>
        <v>기타전입금</v>
      </c>
      <c r="P13" s="10">
        <f>IFERROR(IF(예산업로드양식!H8="","",IF(예산업로드양식!F8="06",예산업로드양식!H8,"")),"")</f>
        <v>12000000</v>
      </c>
      <c r="Q13" s="10">
        <f t="shared" si="0"/>
        <v>12000000</v>
      </c>
      <c r="R13" s="10"/>
      <c r="S13" s="165"/>
      <c r="T13" s="40"/>
      <c r="U13" s="9"/>
      <c r="V13" s="9"/>
      <c r="W13" s="9"/>
      <c r="X13" s="9" t="str">
        <f>IFERROR(IF(예산업로드양식!E8="","",IF(예산업로드양식!F8="07",예산업로드양식!E8,"")),"")</f>
        <v/>
      </c>
      <c r="Y13" s="10" t="str">
        <f>IFERROR(IF(예산업로드양식!H8="","",IF(예산업로드양식!F8="07",예산업로드양식!H8,"")),"")</f>
        <v/>
      </c>
      <c r="Z13" s="10" t="str">
        <f t="shared" si="1"/>
        <v/>
      </c>
      <c r="AA13" s="10"/>
      <c r="AB13" s="165"/>
      <c r="AC13" s="40"/>
      <c r="AD13" s="9"/>
      <c r="AE13" s="9"/>
      <c r="AF13" s="9"/>
      <c r="AG13" s="9" t="str">
        <f>IFERROR(IF(예산업로드양식!E8="","",IF(예산업로드양식!F8="05",예산업로드양식!E8,"")),"")</f>
        <v/>
      </c>
      <c r="AH13" s="10" t="str">
        <f>IFERROR(IF(예산업로드양식!H8="","",IF(예산업로드양식!F8="05",예산업로드양식!H8,"")),"")</f>
        <v/>
      </c>
      <c r="AI13" s="10"/>
      <c r="AJ13" s="10"/>
      <c r="AL13" s="981" t="e">
        <f>IF(#REF!="","",#REF!)</f>
        <v>#REF!</v>
      </c>
      <c r="AM13" s="982" t="e">
        <f>IF(#REF!="","",#REF!)</f>
        <v>#REF!</v>
      </c>
      <c r="AN13" s="983" t="e">
        <f>IF(AND(#REF!="",#REF!=1),"",#REF!)</f>
        <v>#REF!</v>
      </c>
      <c r="AO13" s="984" t="e">
        <f>IF(#REF!="","",#REF!)</f>
        <v>#REF!</v>
      </c>
      <c r="AP13" s="971" t="e">
        <f>IF(#REF!="","",#REF!)</f>
        <v>#REF!</v>
      </c>
      <c r="AQ13" s="985" t="e">
        <f>IF(#REF!="","",#REF!)</f>
        <v>#REF!</v>
      </c>
      <c r="AR13" s="973" t="e">
        <f>IF(#REF!="","",#REF!)</f>
        <v>#REF!</v>
      </c>
      <c r="AS13" s="974" t="e">
        <f>IF(#REF!="","",#REF!)</f>
        <v>#REF!</v>
      </c>
      <c r="AT13" s="975" t="e">
        <f>IF(#REF!="","",#REF!)</f>
        <v>#REF!</v>
      </c>
      <c r="AU13" s="976" t="e">
        <f>IF(#REF!="","",#REF!)</f>
        <v>#REF!</v>
      </c>
      <c r="AV13" s="977" t="e">
        <f>IF(#REF!="","",#REF!)</f>
        <v>#REF!</v>
      </c>
      <c r="AW13" s="986" t="e">
        <f>IF(#REF!="","",#REF!)</f>
        <v>#REF!</v>
      </c>
      <c r="AX13" s="987" t="e">
        <f>IF(#REF!="","",#REF!)</f>
        <v>#REF!</v>
      </c>
    </row>
    <row r="14" spans="1:50" ht="17.25" thickBot="1">
      <c r="A14" s="797" t="s">
        <v>831</v>
      </c>
      <c r="B14" s="798" t="s">
        <v>832</v>
      </c>
      <c r="C14" s="679" t="s">
        <v>210</v>
      </c>
      <c r="D14" s="680"/>
      <c r="E14" s="681" t="s">
        <v>211</v>
      </c>
      <c r="F14" s="680"/>
      <c r="G14" s="681" t="s">
        <v>127</v>
      </c>
      <c r="H14" s="682"/>
      <c r="I14" s="683" t="s">
        <v>188</v>
      </c>
      <c r="K14" s="41"/>
      <c r="L14" s="11"/>
      <c r="M14" s="11"/>
      <c r="N14" s="11"/>
      <c r="O14" s="11" t="str">
        <f>IFERROR(IF(예산업로드양식!E9="","",IF(예산업로드양식!F9="06",예산업로드양식!E9,"")),"")</f>
        <v>전년도이월금</v>
      </c>
      <c r="P14" s="12">
        <f>IFERROR(IF(예산업로드양식!H9="","",IF(예산업로드양식!F9="06",예산업로드양식!H9,"")),"")</f>
        <v>75336977</v>
      </c>
      <c r="Q14" s="6">
        <f t="shared" si="0"/>
        <v>75336977</v>
      </c>
      <c r="R14" s="12"/>
      <c r="S14" s="165"/>
      <c r="T14" s="41"/>
      <c r="U14" s="11"/>
      <c r="V14" s="11"/>
      <c r="W14" s="11"/>
      <c r="X14" s="11" t="str">
        <f>IFERROR(IF(예산업로드양식!E9="","",IF(예산업로드양식!F9="07",예산업로드양식!E9,"")),"")</f>
        <v/>
      </c>
      <c r="Y14" s="12" t="str">
        <f>IFERROR(IF(예산업로드양식!H9="","",IF(예산업로드양식!F9="07",예산업로드양식!H9,"")),"")</f>
        <v/>
      </c>
      <c r="Z14" s="6" t="str">
        <f t="shared" si="1"/>
        <v/>
      </c>
      <c r="AA14" s="12"/>
      <c r="AB14" s="165"/>
      <c r="AC14" s="41"/>
      <c r="AD14" s="11"/>
      <c r="AE14" s="11"/>
      <c r="AF14" s="11"/>
      <c r="AG14" s="11" t="str">
        <f>IFERROR(IF(예산업로드양식!E9="","",IF(예산업로드양식!F9="05",예산업로드양식!E9,"")),"")</f>
        <v/>
      </c>
      <c r="AH14" s="12" t="str">
        <f>IFERROR(IF(예산업로드양식!H9="","",IF(예산업로드양식!F9="05",예산업로드양식!H9,"")),"")</f>
        <v/>
      </c>
      <c r="AI14" s="12"/>
      <c r="AJ14" s="12"/>
      <c r="AL14" s="981" t="e">
        <f>IF(#REF!="","",#REF!)</f>
        <v>#REF!</v>
      </c>
      <c r="AM14" s="982" t="e">
        <f>IF(#REF!="","",#REF!)</f>
        <v>#REF!</v>
      </c>
      <c r="AN14" s="983" t="e">
        <f>IF(AND(#REF!="",#REF!=1),"",#REF!)</f>
        <v>#REF!</v>
      </c>
      <c r="AO14" s="984" t="e">
        <f>IF(#REF!="","",#REF!)</f>
        <v>#REF!</v>
      </c>
      <c r="AP14" s="971" t="e">
        <f>IF(#REF!="","",#REF!)</f>
        <v>#REF!</v>
      </c>
      <c r="AQ14" s="985" t="e">
        <f>IF(#REF!="","",#REF!)</f>
        <v>#REF!</v>
      </c>
      <c r="AR14" s="973" t="e">
        <f>IF(#REF!="","",#REF!)</f>
        <v>#REF!</v>
      </c>
      <c r="AS14" s="974" t="e">
        <f>IF(#REF!="","",#REF!)</f>
        <v>#REF!</v>
      </c>
      <c r="AT14" s="975" t="e">
        <f>IF(#REF!="","",#REF!)</f>
        <v>#REF!</v>
      </c>
      <c r="AU14" s="976" t="e">
        <f>IF(#REF!="","",#REF!)</f>
        <v>#REF!</v>
      </c>
      <c r="AV14" s="977" t="e">
        <f>IF(#REF!="","",#REF!)</f>
        <v>#REF!</v>
      </c>
      <c r="AW14" s="986" t="e">
        <f>IF(#REF!="","",#REF!)</f>
        <v>#REF!</v>
      </c>
      <c r="AX14" s="987" t="e">
        <f>IF(#REF!="","",#REF!)</f>
        <v>#REF!</v>
      </c>
    </row>
    <row r="15" spans="1:50" ht="17.25" thickBot="1">
      <c r="A15" s="799">
        <f>데이터입력!AE12</f>
        <v>1</v>
      </c>
      <c r="B15" s="799">
        <f>데이터입력!AF12</f>
        <v>1</v>
      </c>
      <c r="C15" s="918" t="str">
        <f>IF(데이터입력!Z25="","X",데이터입력!Z25)</f>
        <v>국고보조금</v>
      </c>
      <c r="D15" s="685"/>
      <c r="E15" s="918" t="str">
        <f>IF(데이터입력!AB25="","X",데이터입력!AB25)</f>
        <v>시도보조금</v>
      </c>
      <c r="F15" s="685"/>
      <c r="G15" s="918" t="str">
        <f>IF(데이터입력!AD25="","X",데이터입력!AD25)</f>
        <v>기타잡수입</v>
      </c>
      <c r="H15" s="685"/>
      <c r="I15" s="688"/>
      <c r="K15" s="40"/>
      <c r="L15" s="9"/>
      <c r="M15" s="9"/>
      <c r="N15" s="9"/>
      <c r="O15" s="9" t="str">
        <f>IFERROR(IF(예산업로드양식!E10="","",IF(예산업로드양식!F10="06",예산업로드양식!E10,"")),"")</f>
        <v>전년도이월금(식재료비)</v>
      </c>
      <c r="P15" s="10">
        <f>IFERROR(IF(예산업로드양식!H10="","",IF(예산업로드양식!F10="06",예산업로드양식!H10,"")),"")</f>
        <v>46555502</v>
      </c>
      <c r="Q15" s="10">
        <f t="shared" si="0"/>
        <v>46555502</v>
      </c>
      <c r="R15" s="10"/>
      <c r="S15" s="165"/>
      <c r="T15" s="40"/>
      <c r="U15" s="9"/>
      <c r="V15" s="9"/>
      <c r="W15" s="9"/>
      <c r="X15" s="9" t="str">
        <f>IFERROR(IF(예산업로드양식!E10="","",IF(예산업로드양식!F10="07",예산업로드양식!E10,"")),"")</f>
        <v/>
      </c>
      <c r="Y15" s="10" t="str">
        <f>IFERROR(IF(예산업로드양식!H10="","",IF(예산업로드양식!F10="07",예산업로드양식!H10,"")),"")</f>
        <v/>
      </c>
      <c r="Z15" s="10" t="str">
        <f t="shared" si="1"/>
        <v/>
      </c>
      <c r="AA15" s="10"/>
      <c r="AB15" s="165"/>
      <c r="AC15" s="40"/>
      <c r="AD15" s="9"/>
      <c r="AE15" s="9"/>
      <c r="AF15" s="9"/>
      <c r="AG15" s="9" t="str">
        <f>IFERROR(IF(예산업로드양식!E10="","",IF(예산업로드양식!F10="05",예산업로드양식!E10,"")),"")</f>
        <v/>
      </c>
      <c r="AH15" s="10" t="str">
        <f>IFERROR(IF(예산업로드양식!H10="","",IF(예산업로드양식!F10="05",예산업로드양식!H10,"")),"")</f>
        <v/>
      </c>
      <c r="AI15" s="10"/>
      <c r="AJ15" s="10"/>
      <c r="AL15" s="981" t="e">
        <f>IF(#REF!="","",#REF!)</f>
        <v>#REF!</v>
      </c>
      <c r="AM15" s="982" t="e">
        <f>IF(#REF!="","",#REF!)</f>
        <v>#REF!</v>
      </c>
      <c r="AN15" s="983" t="e">
        <f>IF(AND(#REF!="",#REF!=1),"",#REF!)</f>
        <v>#REF!</v>
      </c>
      <c r="AO15" s="984" t="e">
        <f>IF(#REF!="","",#REF!)</f>
        <v>#REF!</v>
      </c>
      <c r="AP15" s="971" t="e">
        <f>IF(#REF!="","",#REF!)</f>
        <v>#REF!</v>
      </c>
      <c r="AQ15" s="985" t="e">
        <f>IF(#REF!="","",#REF!)</f>
        <v>#REF!</v>
      </c>
      <c r="AR15" s="973" t="e">
        <f>IF(#REF!="","",#REF!)</f>
        <v>#REF!</v>
      </c>
      <c r="AS15" s="974" t="e">
        <f>IF(#REF!="","",#REF!)</f>
        <v>#REF!</v>
      </c>
      <c r="AT15" s="975" t="e">
        <f>IF(#REF!="","",#REF!)</f>
        <v>#REF!</v>
      </c>
      <c r="AU15" s="976" t="e">
        <f>IF(#REF!="","",#REF!)</f>
        <v>#REF!</v>
      </c>
      <c r="AV15" s="977" t="e">
        <f>IF(#REF!="","",#REF!)</f>
        <v>#REF!</v>
      </c>
      <c r="AW15" s="986" t="e">
        <f>IF(#REF!="","",#REF!)</f>
        <v>#REF!</v>
      </c>
      <c r="AX15" s="987" t="e">
        <f>IF(#REF!="","",#REF!)</f>
        <v>#REF!</v>
      </c>
    </row>
    <row r="16" spans="1:50">
      <c r="A16" s="797" t="s">
        <v>833</v>
      </c>
      <c r="B16" s="798" t="s">
        <v>834</v>
      </c>
      <c r="C16" s="689" t="str">
        <f>IF(데이터입력!Z26="","X",데이터입력!Z26)</f>
        <v>X</v>
      </c>
      <c r="D16" s="690">
        <f>데이터입력!AA26</f>
        <v>0</v>
      </c>
      <c r="E16" s="689" t="str">
        <f>IF(데이터입력!AB26="","X",데이터입력!AB26)</f>
        <v>X</v>
      </c>
      <c r="F16" s="690">
        <f>데이터입력!AC26</f>
        <v>0</v>
      </c>
      <c r="G16" s="689" t="str">
        <f>IF(데이터입력!AD26="","X",데이터입력!AD26)</f>
        <v>의료비대납외</v>
      </c>
      <c r="H16" s="690">
        <f>데이터입력!AE26</f>
        <v>400000</v>
      </c>
      <c r="I16" s="919">
        <f>IF(G16="X",IF($H$2="추경",데이터입력!$Y$8,12),IF($H$2="추경",데이터입력!AF26,IF(데이터입력!$Y$8=12,데이터입력!AF26,12)))</f>
        <v>12</v>
      </c>
      <c r="K16" s="41"/>
      <c r="L16" s="11"/>
      <c r="M16" s="11"/>
      <c r="N16" s="11"/>
      <c r="O16" s="11" t="str">
        <f>IFERROR(IF(예산업로드양식!E11="","",IF(예산업로드양식!F11="06",예산업로드양식!E11,"")),"")</f>
        <v>기타예금이자수입</v>
      </c>
      <c r="P16" s="12">
        <f>IFERROR(IF(예산업로드양식!H11="","",IF(예산업로드양식!F11="06",예산업로드양식!H11,"")),"")</f>
        <v>60000</v>
      </c>
      <c r="Q16" s="6">
        <f t="shared" si="0"/>
        <v>60000</v>
      </c>
      <c r="R16" s="12"/>
      <c r="S16" s="165"/>
      <c r="T16" s="41"/>
      <c r="U16" s="11"/>
      <c r="V16" s="11"/>
      <c r="W16" s="11"/>
      <c r="X16" s="11" t="str">
        <f>IFERROR(IF(예산업로드양식!E11="","",IF(예산업로드양식!F11="07",예산업로드양식!E11,"")),"")</f>
        <v/>
      </c>
      <c r="Y16" s="12" t="str">
        <f>IFERROR(IF(예산업로드양식!H11="","",IF(예산업로드양식!F11="07",예산업로드양식!H11,"")),"")</f>
        <v/>
      </c>
      <c r="Z16" s="6" t="str">
        <f t="shared" si="1"/>
        <v/>
      </c>
      <c r="AA16" s="12"/>
      <c r="AB16" s="165"/>
      <c r="AC16" s="41"/>
      <c r="AD16" s="11"/>
      <c r="AE16" s="11"/>
      <c r="AF16" s="11"/>
      <c r="AG16" s="11" t="str">
        <f>IFERROR(IF(예산업로드양식!E11="","",IF(예산업로드양식!F11="05",예산업로드양식!E11,"")),"")</f>
        <v/>
      </c>
      <c r="AH16" s="12" t="str">
        <f>IFERROR(IF(예산업로드양식!H11="","",IF(예산업로드양식!F11="05",예산업로드양식!H11,"")),"")</f>
        <v/>
      </c>
      <c r="AI16" s="12"/>
      <c r="AJ16" s="12"/>
      <c r="AL16" s="981" t="e">
        <f>IF(#REF!="","",#REF!)</f>
        <v>#REF!</v>
      </c>
      <c r="AM16" s="982" t="e">
        <f>IF(#REF!="","",#REF!)</f>
        <v>#REF!</v>
      </c>
      <c r="AN16" s="983" t="e">
        <f>IF(AND(#REF!="",#REF!=1),"",#REF!)</f>
        <v>#REF!</v>
      </c>
      <c r="AO16" s="984" t="e">
        <f>IF(#REF!="","",#REF!)</f>
        <v>#REF!</v>
      </c>
      <c r="AP16" s="971" t="e">
        <f>IF(#REF!="","",#REF!)</f>
        <v>#REF!</v>
      </c>
      <c r="AQ16" s="985" t="e">
        <f>IF(#REF!="","",#REF!)</f>
        <v>#REF!</v>
      </c>
      <c r="AR16" s="973" t="e">
        <f>IF(#REF!="","",#REF!)</f>
        <v>#REF!</v>
      </c>
      <c r="AS16" s="974" t="e">
        <f>IF(#REF!="","",#REF!)</f>
        <v>#REF!</v>
      </c>
      <c r="AT16" s="975" t="e">
        <f>IF(#REF!="","",#REF!)</f>
        <v>#REF!</v>
      </c>
      <c r="AU16" s="976" t="e">
        <f>IF(#REF!="","",#REF!)</f>
        <v>#REF!</v>
      </c>
      <c r="AV16" s="977" t="e">
        <f>IF(#REF!="","",#REF!)</f>
        <v>#REF!</v>
      </c>
      <c r="AW16" s="986" t="e">
        <f>IF(#REF!="","",#REF!)</f>
        <v>#REF!</v>
      </c>
      <c r="AX16" s="987" t="e">
        <f>IF(#REF!="","",#REF!)</f>
        <v>#REF!</v>
      </c>
    </row>
    <row r="17" spans="1:50" ht="17.25" thickBot="1">
      <c r="A17" s="799">
        <f>데이터입력!AE14</f>
        <v>1</v>
      </c>
      <c r="B17" s="799">
        <f>데이터입력!AF14</f>
        <v>1.3</v>
      </c>
      <c r="C17" s="689" t="str">
        <f>IF(데이터입력!Z27="","X",데이터입력!Z27)</f>
        <v>X</v>
      </c>
      <c r="D17" s="690">
        <f>데이터입력!AA27</f>
        <v>0</v>
      </c>
      <c r="E17" s="689" t="str">
        <f>IF(데이터입력!AB27="","X",데이터입력!AB27)</f>
        <v>X</v>
      </c>
      <c r="F17" s="690">
        <f>데이터입력!AC27</f>
        <v>0</v>
      </c>
      <c r="G17" s="689" t="str">
        <f>IF(데이터입력!AD27="","X",데이터입력!AD27)</f>
        <v>각종근로지원금</v>
      </c>
      <c r="H17" s="690">
        <f>데이터입력!AE27</f>
        <v>500000</v>
      </c>
      <c r="I17" s="919">
        <f>IF(G17="X",IF($H$2="추경",데이터입력!$Y$8,12),IF($H$2="추경",데이터입력!AF27,IF(데이터입력!$Y$8=12,데이터입력!AF27,12)))</f>
        <v>12</v>
      </c>
      <c r="K17" s="40"/>
      <c r="L17" s="9"/>
      <c r="M17" s="9"/>
      <c r="N17" s="9"/>
      <c r="O17" s="9" t="str">
        <f>IFERROR(IF(예산업로드양식!E12="","",IF(예산업로드양식!F12="06",예산업로드양식!E12,"")),"")</f>
        <v>기타잡수입</v>
      </c>
      <c r="P17" s="10">
        <f>IFERROR(IF(예산업로드양식!H12="","",IF(예산업로드양식!F12="06",예산업로드양식!H12,"")),"")</f>
        <v>12000000</v>
      </c>
      <c r="Q17" s="10">
        <f t="shared" si="0"/>
        <v>12000000</v>
      </c>
      <c r="R17" s="10"/>
      <c r="S17" s="165"/>
      <c r="T17" s="40"/>
      <c r="U17" s="9"/>
      <c r="V17" s="9"/>
      <c r="W17" s="9"/>
      <c r="X17" s="9" t="str">
        <f>IFERROR(IF(예산업로드양식!E12="","",IF(예산업로드양식!F12="07",예산업로드양식!E12,"")),"")</f>
        <v/>
      </c>
      <c r="Y17" s="10" t="str">
        <f>IFERROR(IF(예산업로드양식!H12="","",IF(예산업로드양식!F12="07",예산업로드양식!H12,"")),"")</f>
        <v/>
      </c>
      <c r="Z17" s="10" t="str">
        <f t="shared" si="1"/>
        <v/>
      </c>
      <c r="AA17" s="10"/>
      <c r="AB17" s="165"/>
      <c r="AC17" s="40"/>
      <c r="AD17" s="9"/>
      <c r="AE17" s="9"/>
      <c r="AF17" s="9"/>
      <c r="AG17" s="9" t="str">
        <f>IFERROR(IF(예산업로드양식!E12="","",IF(예산업로드양식!F12="05",예산업로드양식!E12,"")),"")</f>
        <v/>
      </c>
      <c r="AH17" s="10" t="str">
        <f>IFERROR(IF(예산업로드양식!H12="","",IF(예산업로드양식!F12="05",예산업로드양식!H12,"")),"")</f>
        <v/>
      </c>
      <c r="AI17" s="10"/>
      <c r="AJ17" s="10"/>
      <c r="AL17" s="981" t="e">
        <f>IF(#REF!="","",#REF!)</f>
        <v>#REF!</v>
      </c>
      <c r="AM17" s="982" t="e">
        <f>IF(#REF!="","",#REF!)</f>
        <v>#REF!</v>
      </c>
      <c r="AN17" s="983" t="e">
        <f>IF(AND(#REF!="",#REF!=1),"",#REF!)</f>
        <v>#REF!</v>
      </c>
      <c r="AO17" s="984" t="e">
        <f>IF(#REF!="","",#REF!)</f>
        <v>#REF!</v>
      </c>
      <c r="AP17" s="971" t="e">
        <f>IF(#REF!="","",#REF!)</f>
        <v>#REF!</v>
      </c>
      <c r="AQ17" s="985" t="e">
        <f>IF(#REF!="","",#REF!)</f>
        <v>#REF!</v>
      </c>
      <c r="AR17" s="973" t="e">
        <f>IF(#REF!="","",#REF!)</f>
        <v>#REF!</v>
      </c>
      <c r="AS17" s="974" t="e">
        <f>IF(#REF!="","",#REF!)</f>
        <v>#REF!</v>
      </c>
      <c r="AT17" s="975" t="e">
        <f>IF(#REF!="","",#REF!)</f>
        <v>#REF!</v>
      </c>
      <c r="AU17" s="976" t="e">
        <f>IF(#REF!="","",#REF!)</f>
        <v>#REF!</v>
      </c>
      <c r="AV17" s="977" t="e">
        <f>IF(#REF!="","",#REF!)</f>
        <v>#REF!</v>
      </c>
      <c r="AW17" s="986" t="e">
        <f>IF(#REF!="","",#REF!)</f>
        <v>#REF!</v>
      </c>
      <c r="AX17" s="987" t="e">
        <f>IF(#REF!="","",#REF!)</f>
        <v>#REF!</v>
      </c>
    </row>
    <row r="18" spans="1:50" ht="17.25" thickBot="1">
      <c r="A18" s="1338" t="s">
        <v>835</v>
      </c>
      <c r="B18" s="1261">
        <f>데이터입력!U30</f>
        <v>6</v>
      </c>
      <c r="C18" s="692" t="s">
        <v>212</v>
      </c>
      <c r="D18" s="693"/>
      <c r="E18" s="694" t="s">
        <v>213</v>
      </c>
      <c r="F18" s="693"/>
      <c r="G18" s="689" t="str">
        <f>IF(데이터입력!AD28="","X",데이터입력!AD28)</f>
        <v>X</v>
      </c>
      <c r="H18" s="690">
        <f>데이터입력!AE28</f>
        <v>0</v>
      </c>
      <c r="I18" s="919">
        <f>IF(G18="X",IF($H$2="추경",데이터입력!$Y$8,12),IF($H$2="추경",데이터입력!AF28,IF(데이터입력!$Y$8=12,데이터입력!AF28,12)))</f>
        <v>12</v>
      </c>
      <c r="K18" s="41"/>
      <c r="L18" s="11"/>
      <c r="M18" s="11"/>
      <c r="N18" s="11"/>
      <c r="O18" s="11" t="str">
        <f>IFERROR(IF(예산업로드양식!E13="","",IF(예산업로드양식!F13="06",예산업로드양식!E13,"")),"")</f>
        <v/>
      </c>
      <c r="P18" s="12" t="str">
        <f>IFERROR(IF(예산업로드양식!H13="","",IF(예산업로드양식!F13="06",예산업로드양식!H13,"")),"")</f>
        <v/>
      </c>
      <c r="Q18" s="6" t="str">
        <f t="shared" si="0"/>
        <v/>
      </c>
      <c r="R18" s="12"/>
      <c r="S18" s="165"/>
      <c r="T18" s="41"/>
      <c r="U18" s="11"/>
      <c r="V18" s="11"/>
      <c r="W18" s="11"/>
      <c r="X18" s="11" t="str">
        <f>IFERROR(IF(예산업로드양식!E13="","",IF(예산업로드양식!F13="07",예산업로드양식!E13,"")),"")</f>
        <v>시군구보조금</v>
      </c>
      <c r="Y18" s="12">
        <f>IFERROR(IF(예산업로드양식!H13="","",IF(예산업로드양식!F13="07",예산업로드양식!H13,"")),"")</f>
        <v>59280000</v>
      </c>
      <c r="Z18" s="6">
        <f t="shared" si="1"/>
        <v>59280000</v>
      </c>
      <c r="AA18" s="12"/>
      <c r="AB18" s="165"/>
      <c r="AC18" s="41"/>
      <c r="AD18" s="11"/>
      <c r="AE18" s="11"/>
      <c r="AF18" s="11"/>
      <c r="AG18" s="11" t="str">
        <f>IFERROR(IF(예산업로드양식!E13="","",IF(예산업로드양식!F13="05",예산업로드양식!E13,"")),"")</f>
        <v/>
      </c>
      <c r="AH18" s="12" t="str">
        <f>IFERROR(IF(예산업로드양식!H13="","",IF(예산업로드양식!F13="05",예산업로드양식!H13,"")),"")</f>
        <v/>
      </c>
      <c r="AI18" s="12"/>
      <c r="AJ18" s="12"/>
      <c r="AL18" s="981" t="e">
        <f>IF(#REF!="","",#REF!)</f>
        <v>#REF!</v>
      </c>
      <c r="AM18" s="982" t="e">
        <f>IF(#REF!="","",#REF!)</f>
        <v>#REF!</v>
      </c>
      <c r="AN18" s="983" t="e">
        <f>IF(AND(#REF!="",#REF!=1),"",#REF!)</f>
        <v>#REF!</v>
      </c>
      <c r="AO18" s="984" t="e">
        <f>IF(#REF!="","",#REF!)</f>
        <v>#REF!</v>
      </c>
      <c r="AP18" s="971" t="e">
        <f>IF(#REF!="","",#REF!)</f>
        <v>#REF!</v>
      </c>
      <c r="AQ18" s="985" t="e">
        <f>IF(#REF!="","",#REF!)</f>
        <v>#REF!</v>
      </c>
      <c r="AR18" s="973" t="e">
        <f>IF(#REF!="","",#REF!)</f>
        <v>#REF!</v>
      </c>
      <c r="AS18" s="974" t="e">
        <f>IF(#REF!="","",#REF!)</f>
        <v>#REF!</v>
      </c>
      <c r="AT18" s="975" t="e">
        <f>IF(#REF!="","",#REF!)</f>
        <v>#REF!</v>
      </c>
      <c r="AU18" s="976" t="e">
        <f>IF(#REF!="","",#REF!)</f>
        <v>#REF!</v>
      </c>
      <c r="AV18" s="977" t="e">
        <f>IF(#REF!="","",#REF!)</f>
        <v>#REF!</v>
      </c>
      <c r="AW18" s="986" t="e">
        <f>IF(#REF!="","",#REF!)</f>
        <v>#REF!</v>
      </c>
      <c r="AX18" s="987" t="e">
        <f>IF(#REF!="","",#REF!)</f>
        <v>#REF!</v>
      </c>
    </row>
    <row r="19" spans="1:50">
      <c r="A19" s="1339" t="s">
        <v>836</v>
      </c>
      <c r="B19" s="1264">
        <f>데이터입력!U31</f>
        <v>4</v>
      </c>
      <c r="C19" s="918" t="str">
        <f>IF(데이터입력!Z29="","X",데이터입력!Z29)</f>
        <v>시군구보조금</v>
      </c>
      <c r="D19" s="685"/>
      <c r="E19" s="918" t="str">
        <f>IF(데이터입력!AB29="","X",데이터입력!AB29)</f>
        <v>기타보조금</v>
      </c>
      <c r="F19" s="685"/>
      <c r="G19" s="689" t="str">
        <f>IF(데이터입력!AD29="","X",데이터입력!AD29)</f>
        <v>X</v>
      </c>
      <c r="H19" s="690">
        <f>데이터입력!AE29</f>
        <v>0</v>
      </c>
      <c r="I19" s="919">
        <f>IF(G19="X",IF($H$2="추경",데이터입력!$Y$8,12),IF($H$2="추경",데이터입력!AF29,IF(데이터입력!$Y$8=12,데이터입력!AF29,12)))</f>
        <v>12</v>
      </c>
      <c r="K19" s="40"/>
      <c r="L19" s="9"/>
      <c r="M19" s="9"/>
      <c r="N19" s="9"/>
      <c r="O19" s="9" t="str">
        <f>IFERROR(IF(예산업로드양식!E14="","",IF(예산업로드양식!F14="06",예산업로드양식!E14,"")),"")</f>
        <v/>
      </c>
      <c r="P19" s="10" t="str">
        <f>IFERROR(IF(예산업로드양식!H14="","",IF(예산업로드양식!F14="06",예산업로드양식!H14,"")),"")</f>
        <v/>
      </c>
      <c r="Q19" s="10" t="str">
        <f t="shared" si="0"/>
        <v/>
      </c>
      <c r="R19" s="10"/>
      <c r="S19" s="165"/>
      <c r="T19" s="40"/>
      <c r="U19" s="9"/>
      <c r="V19" s="9"/>
      <c r="W19" s="9"/>
      <c r="X19" s="9" t="str">
        <f>IFERROR(IF(예산업로드양식!E14="","",IF(예산업로드양식!F14="07",예산업로드양식!E14,"")),"")</f>
        <v>기타예금이자수입</v>
      </c>
      <c r="Y19" s="10">
        <f>IFERROR(IF(예산업로드양식!H14="","",IF(예산업로드양식!F14="07",예산업로드양식!H14,"")),"")</f>
        <v>10000</v>
      </c>
      <c r="Z19" s="10">
        <f t="shared" si="1"/>
        <v>10000</v>
      </c>
      <c r="AA19" s="10"/>
      <c r="AB19" s="165"/>
      <c r="AC19" s="40"/>
      <c r="AD19" s="9"/>
      <c r="AE19" s="9"/>
      <c r="AF19" s="9"/>
      <c r="AG19" s="9" t="str">
        <f>IFERROR(IF(예산업로드양식!E14="","",IF(예산업로드양식!F14="05",예산업로드양식!E14,"")),"")</f>
        <v/>
      </c>
      <c r="AH19" s="10" t="str">
        <f>IFERROR(IF(예산업로드양식!H14="","",IF(예산업로드양식!F14="05",예산업로드양식!H14,"")),"")</f>
        <v/>
      </c>
      <c r="AI19" s="10"/>
      <c r="AJ19" s="10"/>
      <c r="AL19" s="981" t="e">
        <f>IF(#REF!="","",#REF!)</f>
        <v>#REF!</v>
      </c>
      <c r="AM19" s="982" t="e">
        <f>IF(#REF!="","",#REF!)</f>
        <v>#REF!</v>
      </c>
      <c r="AN19" s="983" t="e">
        <f>IF(AND(#REF!="",#REF!=1),"",#REF!)</f>
        <v>#REF!</v>
      </c>
      <c r="AO19" s="984" t="e">
        <f>IF(#REF!="","",#REF!)</f>
        <v>#REF!</v>
      </c>
      <c r="AP19" s="971" t="e">
        <f>IF(#REF!="","",#REF!)</f>
        <v>#REF!</v>
      </c>
      <c r="AQ19" s="985" t="e">
        <f>IF(#REF!="","",#REF!)</f>
        <v>#REF!</v>
      </c>
      <c r="AR19" s="973" t="e">
        <f>IF(#REF!="","",#REF!)</f>
        <v>#REF!</v>
      </c>
      <c r="AS19" s="974" t="e">
        <f>IF(#REF!="","",#REF!)</f>
        <v>#REF!</v>
      </c>
      <c r="AT19" s="975" t="e">
        <f>IF(#REF!="","",#REF!)</f>
        <v>#REF!</v>
      </c>
      <c r="AU19" s="976" t="e">
        <f>IF(#REF!="","",#REF!)</f>
        <v>#REF!</v>
      </c>
      <c r="AV19" s="977" t="e">
        <f>IF(#REF!="","",#REF!)</f>
        <v>#REF!</v>
      </c>
      <c r="AW19" s="986" t="e">
        <f>IF(#REF!="","",#REF!)</f>
        <v>#REF!</v>
      </c>
      <c r="AX19" s="987" t="e">
        <f>IF(#REF!="","",#REF!)</f>
        <v>#REF!</v>
      </c>
    </row>
    <row r="20" spans="1:50">
      <c r="A20" s="1339" t="s">
        <v>838</v>
      </c>
      <c r="B20" s="1264">
        <f>데이터입력!U32</f>
        <v>3</v>
      </c>
      <c r="C20" s="689" t="str">
        <f>IF(데이터입력!Z30="","X",데이터입력!Z30)</f>
        <v>X</v>
      </c>
      <c r="D20" s="690">
        <f>데이터입력!AA30</f>
        <v>0</v>
      </c>
      <c r="E20" s="689" t="str">
        <f>IF(데이터입력!AB30="","X",데이터입력!AB30)</f>
        <v>X</v>
      </c>
      <c r="F20" s="690">
        <f>데이터입력!AC30</f>
        <v>0</v>
      </c>
      <c r="G20" s="689" t="str">
        <f>IF(데이터입력!AD30="","X",데이터입력!AD30)</f>
        <v>X</v>
      </c>
      <c r="H20" s="690">
        <f>데이터입력!AE30</f>
        <v>0</v>
      </c>
      <c r="I20" s="919">
        <f>IF(G20="X",IF($H$2="추경",데이터입력!$Y$8,12),IF($H$2="추경",데이터입력!AF30,IF(데이터입력!$Y$8=12,데이터입력!AF30,12)))</f>
        <v>12</v>
      </c>
      <c r="K20" s="41"/>
      <c r="L20" s="11"/>
      <c r="M20" s="11"/>
      <c r="N20" s="11"/>
      <c r="O20" s="11" t="str">
        <f>IFERROR(IF(예산업로드양식!E15="","",IF(예산업로드양식!F15="06",예산업로드양식!E15,"")),"")</f>
        <v>기관운영비</v>
      </c>
      <c r="P20" s="12">
        <f>IFERROR(IF(예산업로드양식!H15="","",IF(예산업로드양식!F15="06",예산업로드양식!H15,"")),"")</f>
        <v>6000000</v>
      </c>
      <c r="Q20" s="6">
        <f t="shared" si="0"/>
        <v>6000000</v>
      </c>
      <c r="R20" s="12"/>
      <c r="S20" s="165"/>
      <c r="T20" s="41"/>
      <c r="U20" s="11"/>
      <c r="V20" s="11"/>
      <c r="W20" s="11"/>
      <c r="X20" s="11" t="str">
        <f>IFERROR(IF(예산업로드양식!E15="","",IF(예산업로드양식!F15="07",예산업로드양식!E15,"")),"")</f>
        <v/>
      </c>
      <c r="Y20" s="12" t="str">
        <f>IFERROR(IF(예산업로드양식!H15="","",IF(예산업로드양식!F15="07",예산업로드양식!H15,"")),"")</f>
        <v/>
      </c>
      <c r="Z20" s="6" t="str">
        <f t="shared" si="1"/>
        <v/>
      </c>
      <c r="AA20" s="12"/>
      <c r="AB20" s="165"/>
      <c r="AC20" s="41"/>
      <c r="AD20" s="11"/>
      <c r="AE20" s="11"/>
      <c r="AF20" s="11"/>
      <c r="AG20" s="11" t="str">
        <f>IFERROR(IF(예산업로드양식!E15="","",IF(예산업로드양식!F15="05",예산업로드양식!E15,"")),"")</f>
        <v/>
      </c>
      <c r="AH20" s="12" t="str">
        <f>IFERROR(IF(예산업로드양식!H15="","",IF(예산업로드양식!F15="05",예산업로드양식!H15,"")),"")</f>
        <v/>
      </c>
      <c r="AI20" s="12"/>
      <c r="AJ20" s="12"/>
      <c r="AL20" s="981" t="e">
        <f>IF(#REF!="","",#REF!)</f>
        <v>#REF!</v>
      </c>
      <c r="AM20" s="982" t="e">
        <f>IF(#REF!="","",#REF!)</f>
        <v>#REF!</v>
      </c>
      <c r="AN20" s="983" t="e">
        <f>IF(AND(#REF!="",#REF!=1),"",#REF!)</f>
        <v>#REF!</v>
      </c>
      <c r="AO20" s="984" t="e">
        <f>IF(#REF!="","",#REF!)</f>
        <v>#REF!</v>
      </c>
      <c r="AP20" s="971" t="e">
        <f>IF(#REF!="","",#REF!)</f>
        <v>#REF!</v>
      </c>
      <c r="AQ20" s="985" t="e">
        <f>IF(#REF!="","",#REF!)</f>
        <v>#REF!</v>
      </c>
      <c r="AR20" s="973" t="e">
        <f>IF(#REF!="","",#REF!)</f>
        <v>#REF!</v>
      </c>
      <c r="AS20" s="974" t="e">
        <f>IF(#REF!="","",#REF!)</f>
        <v>#REF!</v>
      </c>
      <c r="AT20" s="975" t="e">
        <f>IF(#REF!="","",#REF!)</f>
        <v>#REF!</v>
      </c>
      <c r="AU20" s="976" t="e">
        <f>IF(#REF!="","",#REF!)</f>
        <v>#REF!</v>
      </c>
      <c r="AV20" s="977" t="e">
        <f>IF(#REF!="","",#REF!)</f>
        <v>#REF!</v>
      </c>
      <c r="AW20" s="986" t="e">
        <f>IF(#REF!="","",#REF!)</f>
        <v>#REF!</v>
      </c>
      <c r="AX20" s="987" t="e">
        <f>IF(#REF!="","",#REF!)</f>
        <v>#REF!</v>
      </c>
    </row>
    <row r="21" spans="1:50" ht="17.25" thickBot="1">
      <c r="A21" s="1340" t="s">
        <v>840</v>
      </c>
      <c r="B21" s="1341">
        <f>데이터입력!U33</f>
        <v>5</v>
      </c>
      <c r="C21" s="689" t="str">
        <f>IF(데이터입력!Z31="","X",데이터입력!Z31)</f>
        <v>X</v>
      </c>
      <c r="D21" s="690">
        <f>데이터입력!AA31</f>
        <v>0</v>
      </c>
      <c r="E21" s="689" t="str">
        <f>IF(데이터입력!AB31="","X",데이터입력!AB31)</f>
        <v>X</v>
      </c>
      <c r="F21" s="690">
        <f>데이터입력!AC31</f>
        <v>0</v>
      </c>
      <c r="G21" s="689" t="str">
        <f>IF(데이터입력!AD31="","X",데이터입력!AD31)</f>
        <v>X</v>
      </c>
      <c r="H21" s="690">
        <f>데이터입력!AE31</f>
        <v>0</v>
      </c>
      <c r="I21" s="919">
        <f>IF(G21="X",IF($H$2="추경",데이터입력!$Y$8,12),IF($H$2="추경",데이터입력!AF31,IF(데이터입력!$Y$8=12,데이터입력!AF31,12)))</f>
        <v>12</v>
      </c>
      <c r="K21" s="40"/>
      <c r="L21" s="9"/>
      <c r="M21" s="9"/>
      <c r="N21" s="9"/>
      <c r="O21" s="9" t="str">
        <f>IFERROR(IF(예산업로드양식!E16="","",IF(예산업로드양식!F16="06",예산업로드양식!E16,"")),"")</f>
        <v>직책보조비</v>
      </c>
      <c r="P21" s="10">
        <f>IFERROR(IF(예산업로드양식!H16="","",IF(예산업로드양식!F16="06",예산업로드양식!H16,"")),"")</f>
        <v>12000000</v>
      </c>
      <c r="Q21" s="10">
        <f t="shared" si="0"/>
        <v>12000000</v>
      </c>
      <c r="R21" s="10"/>
      <c r="S21" s="165"/>
      <c r="T21" s="40"/>
      <c r="U21" s="9"/>
      <c r="V21" s="9"/>
      <c r="W21" s="9"/>
      <c r="X21" s="9" t="str">
        <f>IFERROR(IF(예산업로드양식!E16="","",IF(예산업로드양식!F16="07",예산업로드양식!E16,"")),"")</f>
        <v/>
      </c>
      <c r="Y21" s="10" t="str">
        <f>IFERROR(IF(예산업로드양식!H16="","",IF(예산업로드양식!F16="07",예산업로드양식!H16,"")),"")</f>
        <v/>
      </c>
      <c r="Z21" s="10" t="str">
        <f t="shared" si="1"/>
        <v/>
      </c>
      <c r="AA21" s="10"/>
      <c r="AB21" s="165"/>
      <c r="AC21" s="40"/>
      <c r="AD21" s="9"/>
      <c r="AE21" s="9"/>
      <c r="AF21" s="9"/>
      <c r="AG21" s="9" t="str">
        <f>IFERROR(IF(예산업로드양식!E16="","",IF(예산업로드양식!F16="05",예산업로드양식!E16,"")),"")</f>
        <v/>
      </c>
      <c r="AH21" s="10" t="str">
        <f>IFERROR(IF(예산업로드양식!H16="","",IF(예산업로드양식!F16="05",예산업로드양식!H16,"")),"")</f>
        <v/>
      </c>
      <c r="AI21" s="10"/>
      <c r="AJ21" s="10"/>
      <c r="AL21" s="981" t="e">
        <f>IF(#REF!="","",#REF!)</f>
        <v>#REF!</v>
      </c>
      <c r="AM21" s="982" t="e">
        <f>IF(#REF!="","",#REF!)</f>
        <v>#REF!</v>
      </c>
      <c r="AN21" s="983" t="e">
        <f>IF(AND(#REF!="",#REF!=1),"",#REF!)</f>
        <v>#REF!</v>
      </c>
      <c r="AO21" s="984" t="e">
        <f>IF(#REF!="","",#REF!)</f>
        <v>#REF!</v>
      </c>
      <c r="AP21" s="971" t="e">
        <f>IF(#REF!="","",#REF!)</f>
        <v>#REF!</v>
      </c>
      <c r="AQ21" s="985" t="e">
        <f>IF(#REF!="","",#REF!)</f>
        <v>#REF!</v>
      </c>
      <c r="AR21" s="973" t="e">
        <f>IF(#REF!="","",#REF!)</f>
        <v>#REF!</v>
      </c>
      <c r="AS21" s="974" t="e">
        <f>IF(#REF!="","",#REF!)</f>
        <v>#REF!</v>
      </c>
      <c r="AT21" s="975" t="e">
        <f>IF(#REF!="","",#REF!)</f>
        <v>#REF!</v>
      </c>
      <c r="AU21" s="976" t="e">
        <f>IF(#REF!="","",#REF!)</f>
        <v>#REF!</v>
      </c>
      <c r="AV21" s="977" t="e">
        <f>IF(#REF!="","",#REF!)</f>
        <v>#REF!</v>
      </c>
      <c r="AW21" s="986" t="e">
        <f>IF(#REF!="","",#REF!)</f>
        <v>#REF!</v>
      </c>
      <c r="AX21" s="987" t="e">
        <f>IF(#REF!="","",#REF!)</f>
        <v>#REF!</v>
      </c>
    </row>
    <row r="22" spans="1:50" ht="17.25" thickBot="1">
      <c r="A22" s="672"/>
      <c r="B22" s="649"/>
      <c r="C22" s="695"/>
      <c r="D22" s="695"/>
      <c r="E22" s="695"/>
      <c r="F22" s="695"/>
      <c r="G22" s="695"/>
      <c r="H22" s="695"/>
      <c r="I22" s="696"/>
      <c r="K22" s="41"/>
      <c r="L22" s="11"/>
      <c r="M22" s="11"/>
      <c r="N22" s="11"/>
      <c r="O22" s="11" t="str">
        <f>IFERROR(IF(예산업로드양식!E17="","",IF(예산업로드양식!F17="06",예산업로드양식!E17,"")),"")</f>
        <v>회의비</v>
      </c>
      <c r="P22" s="12">
        <f>IFERROR(IF(예산업로드양식!H17="","",IF(예산업로드양식!F17="06",예산업로드양식!H17,"")),"")</f>
        <v>756000</v>
      </c>
      <c r="Q22" s="6">
        <f t="shared" si="0"/>
        <v>756000</v>
      </c>
      <c r="R22" s="12"/>
      <c r="S22" s="165"/>
      <c r="T22" s="41"/>
      <c r="U22" s="11"/>
      <c r="V22" s="11"/>
      <c r="W22" s="11"/>
      <c r="X22" s="11" t="str">
        <f>IFERROR(IF(예산업로드양식!E17="","",IF(예산업로드양식!F17="07",예산업로드양식!E17,"")),"")</f>
        <v/>
      </c>
      <c r="Y22" s="12" t="str">
        <f>IFERROR(IF(예산업로드양식!H17="","",IF(예산업로드양식!F17="07",예산업로드양식!H17,"")),"")</f>
        <v/>
      </c>
      <c r="Z22" s="6" t="str">
        <f t="shared" si="1"/>
        <v/>
      </c>
      <c r="AA22" s="12"/>
      <c r="AB22" s="165"/>
      <c r="AC22" s="41"/>
      <c r="AD22" s="11"/>
      <c r="AE22" s="11"/>
      <c r="AF22" s="11"/>
      <c r="AG22" s="11" t="str">
        <f>IFERROR(IF(예산업로드양식!E17="","",IF(예산업로드양식!F17="05",예산업로드양식!E17,"")),"")</f>
        <v/>
      </c>
      <c r="AH22" s="12" t="str">
        <f>IFERROR(IF(예산업로드양식!H17="","",IF(예산업로드양식!F17="05",예산업로드양식!H17,"")),"")</f>
        <v/>
      </c>
      <c r="AI22" s="12"/>
      <c r="AJ22" s="12"/>
      <c r="AL22" s="981" t="e">
        <f>IF(#REF!="","",#REF!)</f>
        <v>#REF!</v>
      </c>
      <c r="AM22" s="982" t="e">
        <f>IF(#REF!="","",#REF!)</f>
        <v>#REF!</v>
      </c>
      <c r="AN22" s="983" t="e">
        <f>IF(AND(#REF!="",#REF!=1),"",#REF!)</f>
        <v>#REF!</v>
      </c>
      <c r="AO22" s="984" t="e">
        <f>IF(#REF!="","",#REF!)</f>
        <v>#REF!</v>
      </c>
      <c r="AP22" s="971" t="e">
        <f>IF(#REF!="","",#REF!)</f>
        <v>#REF!</v>
      </c>
      <c r="AQ22" s="985" t="e">
        <f>IF(#REF!="","",#REF!)</f>
        <v>#REF!</v>
      </c>
      <c r="AR22" s="973" t="e">
        <f>IF(#REF!="","",#REF!)</f>
        <v>#REF!</v>
      </c>
      <c r="AS22" s="974" t="e">
        <f>IF(#REF!="","",#REF!)</f>
        <v>#REF!</v>
      </c>
      <c r="AT22" s="975" t="e">
        <f>IF(#REF!="","",#REF!)</f>
        <v>#REF!</v>
      </c>
      <c r="AU22" s="976" t="e">
        <f>IF(#REF!="","",#REF!)</f>
        <v>#REF!</v>
      </c>
      <c r="AV22" s="977" t="e">
        <f>IF(#REF!="","",#REF!)</f>
        <v>#REF!</v>
      </c>
      <c r="AW22" s="986" t="e">
        <f>IF(#REF!="","",#REF!)</f>
        <v>#REF!</v>
      </c>
      <c r="AX22" s="987" t="e">
        <f>IF(#REF!="","",#REF!)</f>
        <v>#REF!</v>
      </c>
    </row>
    <row r="23" spans="1:50" ht="17.25" thickBot="1">
      <c r="A23" s="676" t="s">
        <v>269</v>
      </c>
      <c r="B23" s="677"/>
      <c r="C23" s="677"/>
      <c r="D23" s="677"/>
      <c r="E23" s="677"/>
      <c r="F23" s="677"/>
      <c r="G23" s="677"/>
      <c r="H23" s="677"/>
      <c r="I23" s="678"/>
      <c r="K23" s="40"/>
      <c r="L23" s="9"/>
      <c r="M23" s="9"/>
      <c r="N23" s="9"/>
      <c r="O23" s="9" t="str">
        <f>IFERROR(IF(예산업로드양식!E18="","",IF(예산업로드양식!F18="06",예산업로드양식!E18,"")),"")</f>
        <v>여비</v>
      </c>
      <c r="P23" s="10">
        <f>IFERROR(IF(예산업로드양식!H18="","",IF(예산업로드양식!F18="06",예산업로드양식!H18,"")),"")</f>
        <v>1200000</v>
      </c>
      <c r="Q23" s="10">
        <f t="shared" si="0"/>
        <v>1200000</v>
      </c>
      <c r="R23" s="10"/>
      <c r="S23" s="165"/>
      <c r="T23" s="40"/>
      <c r="U23" s="9"/>
      <c r="V23" s="9"/>
      <c r="W23" s="9"/>
      <c r="X23" s="9" t="str">
        <f>IFERROR(IF(예산업로드양식!E18="","",IF(예산업로드양식!F18="07",예산업로드양식!E18,"")),"")</f>
        <v/>
      </c>
      <c r="Y23" s="10" t="str">
        <f>IFERROR(IF(예산업로드양식!H18="","",IF(예산업로드양식!F18="07",예산업로드양식!H18,"")),"")</f>
        <v/>
      </c>
      <c r="Z23" s="10" t="str">
        <f t="shared" si="1"/>
        <v/>
      </c>
      <c r="AA23" s="10"/>
      <c r="AB23" s="165"/>
      <c r="AC23" s="40"/>
      <c r="AD23" s="9"/>
      <c r="AE23" s="9"/>
      <c r="AF23" s="9"/>
      <c r="AG23" s="9" t="str">
        <f>IFERROR(IF(예산업로드양식!E18="","",IF(예산업로드양식!F18="05",예산업로드양식!E18,"")),"")</f>
        <v/>
      </c>
      <c r="AH23" s="10" t="str">
        <f>IFERROR(IF(예산업로드양식!H18="","",IF(예산업로드양식!F18="05",예산업로드양식!H18,"")),"")</f>
        <v/>
      </c>
      <c r="AI23" s="10"/>
      <c r="AJ23" s="10"/>
      <c r="AL23" s="981" t="e">
        <f>IF(#REF!="","",#REF!)</f>
        <v>#REF!</v>
      </c>
      <c r="AM23" s="982" t="e">
        <f>IF(#REF!="","",#REF!)</f>
        <v>#REF!</v>
      </c>
      <c r="AN23" s="983" t="e">
        <f>IF(AND(#REF!="",#REF!=1),"",#REF!)</f>
        <v>#REF!</v>
      </c>
      <c r="AO23" s="984" t="e">
        <f>IF(#REF!="","",#REF!)</f>
        <v>#REF!</v>
      </c>
      <c r="AP23" s="971" t="e">
        <f>IF(#REF!="","",#REF!)</f>
        <v>#REF!</v>
      </c>
      <c r="AQ23" s="985" t="e">
        <f>IF(#REF!="","",#REF!)</f>
        <v>#REF!</v>
      </c>
      <c r="AR23" s="973" t="e">
        <f>IF(#REF!="","",#REF!)</f>
        <v>#REF!</v>
      </c>
      <c r="AS23" s="974" t="e">
        <f>IF(#REF!="","",#REF!)</f>
        <v>#REF!</v>
      </c>
      <c r="AT23" s="975" t="e">
        <f>IF(#REF!="","",#REF!)</f>
        <v>#REF!</v>
      </c>
      <c r="AU23" s="976" t="e">
        <f>IF(#REF!="","",#REF!)</f>
        <v>#REF!</v>
      </c>
      <c r="AV23" s="977" t="e">
        <f>IF(#REF!="","",#REF!)</f>
        <v>#REF!</v>
      </c>
      <c r="AW23" s="986" t="e">
        <f>IF(#REF!="","",#REF!)</f>
        <v>#REF!</v>
      </c>
      <c r="AX23" s="987" t="e">
        <f>IF(#REF!="","",#REF!)</f>
        <v>#REF!</v>
      </c>
    </row>
    <row r="24" spans="1:50" ht="17.25" thickBot="1">
      <c r="A24" s="345" t="s">
        <v>715</v>
      </c>
      <c r="B24" s="748"/>
      <c r="C24" s="345" t="s">
        <v>716</v>
      </c>
      <c r="D24" s="748"/>
      <c r="E24" s="345" t="s">
        <v>717</v>
      </c>
      <c r="F24" s="748"/>
      <c r="G24" s="345" t="s">
        <v>714</v>
      </c>
      <c r="H24" s="536"/>
      <c r="I24" s="366"/>
      <c r="K24" s="41"/>
      <c r="L24" s="11"/>
      <c r="M24" s="11"/>
      <c r="N24" s="11"/>
      <c r="O24" s="11" t="str">
        <f>IFERROR(IF(예산업로드양식!E19="","",IF(예산업로드양식!F19="06",예산업로드양식!E19,"")),"")</f>
        <v>수용비 및 수수료</v>
      </c>
      <c r="P24" s="12">
        <f>IFERROR(IF(예산업로드양식!H19="","",IF(예산업로드양식!F19="06",예산업로드양식!H19,"")),"")</f>
        <v>66000000</v>
      </c>
      <c r="Q24" s="6">
        <f t="shared" si="0"/>
        <v>66000000</v>
      </c>
      <c r="R24" s="12"/>
      <c r="S24" s="165"/>
      <c r="T24" s="41"/>
      <c r="U24" s="11"/>
      <c r="V24" s="11"/>
      <c r="W24" s="11"/>
      <c r="X24" s="11" t="str">
        <f>IFERROR(IF(예산업로드양식!E19="","",IF(예산업로드양식!F19="07",예산업로드양식!E19,"")),"")</f>
        <v/>
      </c>
      <c r="Y24" s="12" t="str">
        <f>IFERROR(IF(예산업로드양식!H19="","",IF(예산업로드양식!F19="07",예산업로드양식!H19,"")),"")</f>
        <v/>
      </c>
      <c r="Z24" s="6" t="str">
        <f t="shared" si="1"/>
        <v/>
      </c>
      <c r="AA24" s="12"/>
      <c r="AB24" s="165"/>
      <c r="AC24" s="41"/>
      <c r="AD24" s="11"/>
      <c r="AE24" s="11"/>
      <c r="AF24" s="11"/>
      <c r="AG24" s="11" t="str">
        <f>IFERROR(IF(예산업로드양식!E19="","",IF(예산업로드양식!F19="05",예산업로드양식!E19,"")),"")</f>
        <v/>
      </c>
      <c r="AH24" s="12" t="str">
        <f>IFERROR(IF(예산업로드양식!H19="","",IF(예산업로드양식!F19="05",예산업로드양식!H19,"")),"")</f>
        <v/>
      </c>
      <c r="AI24" s="12"/>
      <c r="AJ24" s="12"/>
      <c r="AL24" s="981" t="e">
        <f>IF(#REF!="","",#REF!)</f>
        <v>#REF!</v>
      </c>
      <c r="AM24" s="982" t="e">
        <f>IF(#REF!="","",#REF!)</f>
        <v>#REF!</v>
      </c>
      <c r="AN24" s="983" t="e">
        <f>IF(AND(#REF!="",#REF!=1),"",#REF!)</f>
        <v>#REF!</v>
      </c>
      <c r="AO24" s="984" t="e">
        <f>IF(#REF!="","",#REF!)</f>
        <v>#REF!</v>
      </c>
      <c r="AP24" s="971" t="e">
        <f>IF(#REF!="","",#REF!)</f>
        <v>#REF!</v>
      </c>
      <c r="AQ24" s="985" t="e">
        <f>IF(#REF!="","",#REF!)</f>
        <v>#REF!</v>
      </c>
      <c r="AR24" s="973" t="e">
        <f>IF(#REF!="","",#REF!)</f>
        <v>#REF!</v>
      </c>
      <c r="AS24" s="974" t="e">
        <f>IF(#REF!="","",#REF!)</f>
        <v>#REF!</v>
      </c>
      <c r="AT24" s="975" t="e">
        <f>IF(#REF!="","",#REF!)</f>
        <v>#REF!</v>
      </c>
      <c r="AU24" s="976" t="e">
        <f>IF(#REF!="","",#REF!)</f>
        <v>#REF!</v>
      </c>
      <c r="AV24" s="977" t="e">
        <f>IF(#REF!="","",#REF!)</f>
        <v>#REF!</v>
      </c>
      <c r="AW24" s="986" t="e">
        <f>IF(#REF!="","",#REF!)</f>
        <v>#REF!</v>
      </c>
      <c r="AX24" s="987" t="e">
        <f>IF(#REF!="","",#REF!)</f>
        <v>#REF!</v>
      </c>
    </row>
    <row r="25" spans="1:50">
      <c r="A25" s="918" t="str">
        <f>IF(데이터입력!X35="","X",데이터입력!X35)</f>
        <v>직책보조비</v>
      </c>
      <c r="B25" s="702"/>
      <c r="C25" s="918" t="str">
        <f>IF(데이터입력!Z35="","X",데이터입력!Z35)</f>
        <v>회의비</v>
      </c>
      <c r="D25" s="702"/>
      <c r="E25" s="918" t="str">
        <f>IF(데이터입력!AB35="","X",데이터입력!AB35)</f>
        <v>여비</v>
      </c>
      <c r="F25" s="702"/>
      <c r="G25" s="918" t="str">
        <f>IF(데이터입력!AD35="","X",데이터입력!AD35)</f>
        <v>상담,타시설 미팅등</v>
      </c>
      <c r="H25" s="702"/>
      <c r="I25" s="919">
        <f>IF(G25="X",IF($H$2="추경",데이터입력!$Y$8,12),IF($H$2="추경",데이터입력!AF35,IF(데이터입력!$Y$8=12,데이터입력!AF35,12)))</f>
        <v>12</v>
      </c>
      <c r="K25" s="40"/>
      <c r="L25" s="9"/>
      <c r="M25" s="9"/>
      <c r="N25" s="9"/>
      <c r="O25" s="9" t="str">
        <f>IFERROR(IF(예산업로드양식!E20="","",IF(예산업로드양식!F20="06",예산업로드양식!E20,"")),"")</f>
        <v>공공요금 및 각종 세금공과금</v>
      </c>
      <c r="P25" s="10">
        <f>IFERROR(IF(예산업로드양식!H20="","",IF(예산업로드양식!F20="06",예산업로드양식!H20,"")),"")</f>
        <v>90000000</v>
      </c>
      <c r="Q25" s="10">
        <f t="shared" si="0"/>
        <v>90000000</v>
      </c>
      <c r="R25" s="10"/>
      <c r="S25" s="165"/>
      <c r="T25" s="40"/>
      <c r="U25" s="9"/>
      <c r="V25" s="9"/>
      <c r="W25" s="9"/>
      <c r="X25" s="9" t="str">
        <f>IFERROR(IF(예산업로드양식!E20="","",IF(예산업로드양식!F20="07",예산업로드양식!E20,"")),"")</f>
        <v/>
      </c>
      <c r="Y25" s="10" t="str">
        <f>IFERROR(IF(예산업로드양식!H20="","",IF(예산업로드양식!F20="07",예산업로드양식!H20,"")),"")</f>
        <v/>
      </c>
      <c r="Z25" s="10" t="str">
        <f t="shared" si="1"/>
        <v/>
      </c>
      <c r="AA25" s="10"/>
      <c r="AB25" s="165"/>
      <c r="AC25" s="40"/>
      <c r="AD25" s="9"/>
      <c r="AE25" s="9"/>
      <c r="AF25" s="9"/>
      <c r="AG25" s="9" t="str">
        <f>IFERROR(IF(예산업로드양식!E20="","",IF(예산업로드양식!F20="05",예산업로드양식!E20,"")),"")</f>
        <v/>
      </c>
      <c r="AH25" s="10" t="str">
        <f>IFERROR(IF(예산업로드양식!H20="","",IF(예산업로드양식!F20="05",예산업로드양식!H20,"")),"")</f>
        <v/>
      </c>
      <c r="AI25" s="10"/>
      <c r="AJ25" s="10"/>
      <c r="AL25" s="981" t="e">
        <f>IF(#REF!="","",#REF!)</f>
        <v>#REF!</v>
      </c>
      <c r="AM25" s="982" t="e">
        <f>IF(#REF!="","",#REF!)</f>
        <v>#REF!</v>
      </c>
      <c r="AN25" s="983" t="e">
        <f>IF(AND(#REF!="",#REF!=1),"",#REF!)</f>
        <v>#REF!</v>
      </c>
      <c r="AO25" s="984" t="e">
        <f>IF(#REF!="","",#REF!)</f>
        <v>#REF!</v>
      </c>
      <c r="AP25" s="971" t="e">
        <f>IF(#REF!="","",#REF!)</f>
        <v>#REF!</v>
      </c>
      <c r="AQ25" s="985" t="e">
        <f>IF(#REF!="","",#REF!)</f>
        <v>#REF!</v>
      </c>
      <c r="AR25" s="973" t="e">
        <f>IF(#REF!="","",#REF!)</f>
        <v>#REF!</v>
      </c>
      <c r="AS25" s="974" t="e">
        <f>IF(#REF!="","",#REF!)</f>
        <v>#REF!</v>
      </c>
      <c r="AT25" s="975" t="e">
        <f>IF(#REF!="","",#REF!)</f>
        <v>#REF!</v>
      </c>
      <c r="AU25" s="976" t="e">
        <f>IF(#REF!="","",#REF!)</f>
        <v>#REF!</v>
      </c>
      <c r="AV25" s="977" t="e">
        <f>IF(#REF!="","",#REF!)</f>
        <v>#REF!</v>
      </c>
      <c r="AW25" s="986" t="e">
        <f>IF(#REF!="","",#REF!)</f>
        <v>#REF!</v>
      </c>
      <c r="AX25" s="987" t="e">
        <f>IF(#REF!="","",#REF!)</f>
        <v>#REF!</v>
      </c>
    </row>
    <row r="26" spans="1:50">
      <c r="A26" s="689" t="str">
        <f>IF(데이터입력!Y36=0,"X",데이터입력!X36)</f>
        <v>X</v>
      </c>
      <c r="B26" s="690">
        <f>데이터입력!Y36</f>
        <v>0</v>
      </c>
      <c r="C26" s="689" t="str">
        <f>IF(데이터입력!AA36=0,"X",데이터입력!Z36)</f>
        <v>X</v>
      </c>
      <c r="D26" s="690">
        <f>데이터입력!AA36</f>
        <v>0</v>
      </c>
      <c r="E26" s="689" t="str">
        <f>IF(데이터입력!AC36=0,"X",데이터입력!AB36)</f>
        <v>X</v>
      </c>
      <c r="F26" s="690">
        <f>데이터입력!AC36</f>
        <v>0</v>
      </c>
      <c r="G26" s="689" t="str">
        <f>IF(데이터입력!AD36="","X",데이터입력!AD36)</f>
        <v>직원복지관련비용</v>
      </c>
      <c r="H26" s="690">
        <f>데이터입력!AE36</f>
        <v>350000</v>
      </c>
      <c r="I26" s="919">
        <f>IF(G26="X",IF($H$2="추경",데이터입력!$Y$8,12),IF($H$2="추경",데이터입력!AF36,IF(데이터입력!$Y$8=12,데이터입력!AF36,12)))</f>
        <v>12</v>
      </c>
      <c r="K26" s="41"/>
      <c r="L26" s="11"/>
      <c r="M26" s="11"/>
      <c r="N26" s="11"/>
      <c r="O26" s="11" t="str">
        <f>IFERROR(IF(예산업로드양식!E21="","",IF(예산업로드양식!F21="06",예산업로드양식!E21,"")),"")</f>
        <v>차량비</v>
      </c>
      <c r="P26" s="12">
        <f>IFERROR(IF(예산업로드양식!H21="","",IF(예산업로드양식!F21="06",예산업로드양식!H21,"")),"")</f>
        <v>7200000</v>
      </c>
      <c r="Q26" s="6">
        <f t="shared" si="0"/>
        <v>7200000</v>
      </c>
      <c r="R26" s="12"/>
      <c r="S26" s="165"/>
      <c r="T26" s="41"/>
      <c r="U26" s="11"/>
      <c r="V26" s="11"/>
      <c r="W26" s="11"/>
      <c r="X26" s="11" t="str">
        <f>IFERROR(IF(예산업로드양식!E21="","",IF(예산업로드양식!F21="07",예산업로드양식!E21,"")),"")</f>
        <v/>
      </c>
      <c r="Y26" s="12" t="str">
        <f>IFERROR(IF(예산업로드양식!H21="","",IF(예산업로드양식!F21="07",예산업로드양식!H21,"")),"")</f>
        <v/>
      </c>
      <c r="Z26" s="6" t="str">
        <f t="shared" si="1"/>
        <v/>
      </c>
      <c r="AA26" s="12"/>
      <c r="AB26" s="165"/>
      <c r="AC26" s="41"/>
      <c r="AD26" s="11"/>
      <c r="AE26" s="11"/>
      <c r="AF26" s="11"/>
      <c r="AG26" s="11" t="str">
        <f>IFERROR(IF(예산업로드양식!E21="","",IF(예산업로드양식!F21="05",예산업로드양식!E21,"")),"")</f>
        <v/>
      </c>
      <c r="AH26" s="12" t="str">
        <f>IFERROR(IF(예산업로드양식!H21="","",IF(예산업로드양식!F21="05",예산업로드양식!H21,"")),"")</f>
        <v/>
      </c>
      <c r="AI26" s="12"/>
      <c r="AJ26" s="12"/>
      <c r="AL26" s="981" t="e">
        <f>IF(#REF!="","",#REF!)</f>
        <v>#REF!</v>
      </c>
      <c r="AM26" s="982" t="e">
        <f>IF(#REF!="","",#REF!)</f>
        <v>#REF!</v>
      </c>
      <c r="AN26" s="983" t="e">
        <f>IF(AND(#REF!="",#REF!=1),"",#REF!)</f>
        <v>#REF!</v>
      </c>
      <c r="AO26" s="984" t="e">
        <f>IF(#REF!="","",#REF!)</f>
        <v>#REF!</v>
      </c>
      <c r="AP26" s="971" t="e">
        <f>IF(#REF!="","",#REF!)</f>
        <v>#REF!</v>
      </c>
      <c r="AQ26" s="985" t="e">
        <f>IF(#REF!="","",#REF!)</f>
        <v>#REF!</v>
      </c>
      <c r="AR26" s="973" t="e">
        <f>IF(#REF!="","",#REF!)</f>
        <v>#REF!</v>
      </c>
      <c r="AS26" s="974" t="e">
        <f>IF(#REF!="","",#REF!)</f>
        <v>#REF!</v>
      </c>
      <c r="AT26" s="975" t="e">
        <f>IF(#REF!="","",#REF!)</f>
        <v>#REF!</v>
      </c>
      <c r="AU26" s="976" t="e">
        <f>IF(#REF!="","",#REF!)</f>
        <v>#REF!</v>
      </c>
      <c r="AV26" s="977" t="e">
        <f>IF(#REF!="","",#REF!)</f>
        <v>#REF!</v>
      </c>
      <c r="AW26" s="986" t="e">
        <f>IF(#REF!="","",#REF!)</f>
        <v>#REF!</v>
      </c>
      <c r="AX26" s="987" t="e">
        <f>IF(#REF!="","",#REF!)</f>
        <v>#REF!</v>
      </c>
    </row>
    <row r="27" spans="1:50">
      <c r="A27" s="689" t="str">
        <f>IF(데이터입력!Y37=0,"X",데이터입력!X37)</f>
        <v>X</v>
      </c>
      <c r="B27" s="690">
        <f>데이터입력!Y37</f>
        <v>0</v>
      </c>
      <c r="C27" s="689" t="str">
        <f>IF(데이터입력!AA37=0,"X",데이터입력!Z37)</f>
        <v>X</v>
      </c>
      <c r="D27" s="690">
        <f>데이터입력!AA37</f>
        <v>0</v>
      </c>
      <c r="E27" s="689" t="str">
        <f>IF(데이터입력!AC37=0,"X",데이터입력!AB37)</f>
        <v>X</v>
      </c>
      <c r="F27" s="690">
        <f>데이터입력!AC37</f>
        <v>0</v>
      </c>
      <c r="G27" s="689" t="str">
        <f>IF(데이터입력!AD37="","X",데이터입력!AD37)</f>
        <v>경조사비(직원)</v>
      </c>
      <c r="H27" s="690">
        <f>데이터입력!AE37</f>
        <v>100000</v>
      </c>
      <c r="I27" s="919">
        <f>IF(G27="X",IF($H$2="추경",데이터입력!$Y$8,12),IF($H$2="추경",데이터입력!AF37,IF(데이터입력!$Y$8=12,데이터입력!AF37,12)))</f>
        <v>12</v>
      </c>
      <c r="K27" s="40"/>
      <c r="L27" s="9"/>
      <c r="M27" s="9"/>
      <c r="N27" s="9"/>
      <c r="O27" s="9" t="str">
        <f>IFERROR(IF(예산업로드양식!E22="","",IF(예산업로드양식!F22="06",예산업로드양식!E22,"")),"")</f>
        <v>기타운영비</v>
      </c>
      <c r="P27" s="10">
        <f>IFERROR(IF(예산업로드양식!H22="","",IF(예산업로드양식!F22="06",예산업로드양식!H22,"")),"")</f>
        <v>24378000</v>
      </c>
      <c r="Q27" s="10">
        <f t="shared" si="0"/>
        <v>24378000</v>
      </c>
      <c r="R27" s="10"/>
      <c r="S27" s="165"/>
      <c r="T27" s="40"/>
      <c r="U27" s="9"/>
      <c r="V27" s="9"/>
      <c r="W27" s="9"/>
      <c r="X27" s="9" t="str">
        <f>IFERROR(IF(예산업로드양식!E22="","",IF(예산업로드양식!F22="07",예산업로드양식!E22,"")),"")</f>
        <v/>
      </c>
      <c r="Y27" s="10" t="str">
        <f>IFERROR(IF(예산업로드양식!H22="","",IF(예산업로드양식!F22="07",예산업로드양식!H22,"")),"")</f>
        <v/>
      </c>
      <c r="Z27" s="10" t="str">
        <f t="shared" si="1"/>
        <v/>
      </c>
      <c r="AA27" s="10"/>
      <c r="AB27" s="165"/>
      <c r="AC27" s="40"/>
      <c r="AD27" s="9"/>
      <c r="AE27" s="9"/>
      <c r="AF27" s="9"/>
      <c r="AG27" s="9" t="str">
        <f>IFERROR(IF(예산업로드양식!E22="","",IF(예산업로드양식!F22="05",예산업로드양식!E22,"")),"")</f>
        <v/>
      </c>
      <c r="AH27" s="10" t="str">
        <f>IFERROR(IF(예산업로드양식!H22="","",IF(예산업로드양식!F22="05",예산업로드양식!H22,"")),"")</f>
        <v/>
      </c>
      <c r="AI27" s="10"/>
      <c r="AJ27" s="10"/>
      <c r="AL27" s="981" t="e">
        <f>IF(#REF!="","",#REF!)</f>
        <v>#REF!</v>
      </c>
      <c r="AM27" s="982" t="e">
        <f>IF(#REF!="","",#REF!)</f>
        <v>#REF!</v>
      </c>
      <c r="AN27" s="983" t="e">
        <f>IF(AND(#REF!="",#REF!=1),"",#REF!)</f>
        <v>#REF!</v>
      </c>
      <c r="AO27" s="984" t="e">
        <f>IF(#REF!="","",#REF!)</f>
        <v>#REF!</v>
      </c>
      <c r="AP27" s="971" t="e">
        <f>IF(#REF!="","",#REF!)</f>
        <v>#REF!</v>
      </c>
      <c r="AQ27" s="985" t="e">
        <f>IF(#REF!="","",#REF!)</f>
        <v>#REF!</v>
      </c>
      <c r="AR27" s="973" t="e">
        <f>IF(#REF!="","",#REF!)</f>
        <v>#REF!</v>
      </c>
      <c r="AS27" s="974" t="e">
        <f>IF(#REF!="","",#REF!)</f>
        <v>#REF!</v>
      </c>
      <c r="AT27" s="975" t="e">
        <f>IF(#REF!="","",#REF!)</f>
        <v>#REF!</v>
      </c>
      <c r="AU27" s="976" t="e">
        <f>IF(#REF!="","",#REF!)</f>
        <v>#REF!</v>
      </c>
      <c r="AV27" s="977" t="e">
        <f>IF(#REF!="","",#REF!)</f>
        <v>#REF!</v>
      </c>
      <c r="AW27" s="986" t="e">
        <f>IF(#REF!="","",#REF!)</f>
        <v>#REF!</v>
      </c>
      <c r="AX27" s="987" t="e">
        <f>IF(#REF!="","",#REF!)</f>
        <v>#REF!</v>
      </c>
    </row>
    <row r="28" spans="1:50">
      <c r="A28" s="689" t="str">
        <f>IF(데이터입력!Y38=0,"X",데이터입력!X38)</f>
        <v>X</v>
      </c>
      <c r="B28" s="690">
        <f>데이터입력!Y38</f>
        <v>0</v>
      </c>
      <c r="C28" s="689" t="str">
        <f>IF(데이터입력!AA38=0,"X",데이터입력!Z38)</f>
        <v>X</v>
      </c>
      <c r="D28" s="690">
        <f>데이터입력!AA38</f>
        <v>0</v>
      </c>
      <c r="E28" s="689" t="str">
        <f>IF(데이터입력!AC38=0,"X",데이터입력!AB38)</f>
        <v>X</v>
      </c>
      <c r="F28" s="690">
        <f>데이터입력!AC38</f>
        <v>0</v>
      </c>
      <c r="G28" s="689" t="str">
        <f>IF(데이터입력!AD38="","X",데이터입력!AD38)</f>
        <v>X</v>
      </c>
      <c r="H28" s="690">
        <f>데이터입력!AE38</f>
        <v>0</v>
      </c>
      <c r="I28" s="919">
        <f>IF(G28="X",IF($H$2="추경",데이터입력!$Y$8,12),IF($H$2="추경",데이터입력!AF38,IF(데이터입력!$Y$8=12,데이터입력!AF38,12)))</f>
        <v>12</v>
      </c>
      <c r="K28" s="41"/>
      <c r="L28" s="11"/>
      <c r="M28" s="11"/>
      <c r="N28" s="11"/>
      <c r="O28" s="11" t="str">
        <f>IFERROR(IF(예산업로드양식!E23="","",IF(예산업로드양식!F23="06",예산업로드양식!E23,"")),"")</f>
        <v>시설비</v>
      </c>
      <c r="P28" s="12">
        <f>IFERROR(IF(예산업로드양식!H23="","",IF(예산업로드양식!F23="06",예산업로드양식!H23,"")),"")</f>
        <v>30000000</v>
      </c>
      <c r="Q28" s="6">
        <f t="shared" si="0"/>
        <v>30000000</v>
      </c>
      <c r="R28" s="12"/>
      <c r="S28" s="165"/>
      <c r="T28" s="41"/>
      <c r="U28" s="11"/>
      <c r="V28" s="11"/>
      <c r="W28" s="11"/>
      <c r="X28" s="11" t="str">
        <f>IFERROR(IF(예산업로드양식!E23="","",IF(예산업로드양식!F23="07",예산업로드양식!E23,"")),"")</f>
        <v/>
      </c>
      <c r="Y28" s="12" t="str">
        <f>IFERROR(IF(예산업로드양식!H23="","",IF(예산업로드양식!F23="07",예산업로드양식!H23,"")),"")</f>
        <v/>
      </c>
      <c r="Z28" s="6" t="str">
        <f t="shared" si="1"/>
        <v/>
      </c>
      <c r="AA28" s="12"/>
      <c r="AB28" s="165"/>
      <c r="AC28" s="41"/>
      <c r="AD28" s="11"/>
      <c r="AE28" s="11"/>
      <c r="AF28" s="11"/>
      <c r="AG28" s="11" t="str">
        <f>IFERROR(IF(예산업로드양식!E23="","",IF(예산업로드양식!F23="05",예산업로드양식!E23,"")),"")</f>
        <v/>
      </c>
      <c r="AH28" s="12" t="str">
        <f>IFERROR(IF(예산업로드양식!H23="","",IF(예산업로드양식!F23="05",예산업로드양식!H23,"")),"")</f>
        <v/>
      </c>
      <c r="AI28" s="12"/>
      <c r="AJ28" s="12"/>
      <c r="AL28" s="981" t="e">
        <f>IF(#REF!="","",#REF!)</f>
        <v>#REF!</v>
      </c>
      <c r="AM28" s="982" t="e">
        <f>IF(#REF!="","",#REF!)</f>
        <v>#REF!</v>
      </c>
      <c r="AN28" s="983" t="e">
        <f>IF(AND(#REF!="",#REF!=1),"",#REF!)</f>
        <v>#REF!</v>
      </c>
      <c r="AO28" s="984" t="e">
        <f>IF(#REF!="","",#REF!)</f>
        <v>#REF!</v>
      </c>
      <c r="AP28" s="971" t="e">
        <f>IF(#REF!="","",#REF!)</f>
        <v>#REF!</v>
      </c>
      <c r="AQ28" s="985" t="e">
        <f>IF(#REF!="","",#REF!)</f>
        <v>#REF!</v>
      </c>
      <c r="AR28" s="973" t="e">
        <f>IF(#REF!="","",#REF!)</f>
        <v>#REF!</v>
      </c>
      <c r="AS28" s="974" t="e">
        <f>IF(#REF!="","",#REF!)</f>
        <v>#REF!</v>
      </c>
      <c r="AT28" s="975" t="e">
        <f>IF(#REF!="","",#REF!)</f>
        <v>#REF!</v>
      </c>
      <c r="AU28" s="976" t="e">
        <f>IF(#REF!="","",#REF!)</f>
        <v>#REF!</v>
      </c>
      <c r="AV28" s="977" t="e">
        <f>IF(#REF!="","",#REF!)</f>
        <v>#REF!</v>
      </c>
      <c r="AW28" s="986" t="e">
        <f>IF(#REF!="","",#REF!)</f>
        <v>#REF!</v>
      </c>
      <c r="AX28" s="987" t="e">
        <f>IF(#REF!="","",#REF!)</f>
        <v>#REF!</v>
      </c>
    </row>
    <row r="29" spans="1:50">
      <c r="A29" s="689" t="str">
        <f>IF(데이터입력!X39="","X",데이터입력!X39)</f>
        <v>X</v>
      </c>
      <c r="B29" s="690">
        <f>데이터입력!Y39</f>
        <v>0</v>
      </c>
      <c r="C29" s="689" t="str">
        <f>IF(데이터입력!Z39="","X",데이터입력!Z39)</f>
        <v>X</v>
      </c>
      <c r="D29" s="690">
        <f>데이터입력!AA39</f>
        <v>0</v>
      </c>
      <c r="E29" s="689" t="str">
        <f>IF(데이터입력!AB39="","X",데이터입력!AB39)</f>
        <v>X</v>
      </c>
      <c r="F29" s="690">
        <f>데이터입력!AC39</f>
        <v>0</v>
      </c>
      <c r="G29" s="689" t="str">
        <f>IF(데이터입력!AD39="","X",데이터입력!AD39)</f>
        <v>X</v>
      </c>
      <c r="H29" s="690">
        <f>데이터입력!AE39</f>
        <v>0</v>
      </c>
      <c r="I29" s="919">
        <f>IF(G29="X",IF($H$2="추경",데이터입력!$Y$8,12),IF($H$2="추경",데이터입력!AF39,IF(데이터입력!$Y$8=12,데이터입력!AF39,12)))</f>
        <v>12</v>
      </c>
      <c r="K29" s="40"/>
      <c r="L29" s="9"/>
      <c r="M29" s="9"/>
      <c r="N29" s="9"/>
      <c r="O29" s="9" t="str">
        <f>IFERROR(IF(예산업로드양식!E24="","",IF(예산업로드양식!F24="06",예산업로드양식!E24,"")),"")</f>
        <v>자산취득비</v>
      </c>
      <c r="P29" s="10">
        <f>IFERROR(IF(예산업로드양식!H24="","",IF(예산업로드양식!F24="06",예산업로드양식!H24,"")),"")</f>
        <v>16200000</v>
      </c>
      <c r="Q29" s="10">
        <f t="shared" si="0"/>
        <v>16200000</v>
      </c>
      <c r="R29" s="10"/>
      <c r="S29" s="165"/>
      <c r="T29" s="40"/>
      <c r="U29" s="9"/>
      <c r="V29" s="9"/>
      <c r="W29" s="9"/>
      <c r="X29" s="9" t="str">
        <f>IFERROR(IF(예산업로드양식!E24="","",IF(예산업로드양식!F24="07",예산업로드양식!E24,"")),"")</f>
        <v/>
      </c>
      <c r="Y29" s="10" t="str">
        <f>IFERROR(IF(예산업로드양식!H24="","",IF(예산업로드양식!F24="07",예산업로드양식!H24,"")),"")</f>
        <v/>
      </c>
      <c r="Z29" s="10" t="str">
        <f t="shared" si="1"/>
        <v/>
      </c>
      <c r="AA29" s="10"/>
      <c r="AB29" s="165"/>
      <c r="AC29" s="40"/>
      <c r="AD29" s="9"/>
      <c r="AE29" s="9"/>
      <c r="AF29" s="9"/>
      <c r="AG29" s="9" t="str">
        <f>IFERROR(IF(예산업로드양식!E24="","",IF(예산업로드양식!F24="05",예산업로드양식!E24,"")),"")</f>
        <v/>
      </c>
      <c r="AH29" s="10" t="str">
        <f>IFERROR(IF(예산업로드양식!H24="","",IF(예산업로드양식!F24="05",예산업로드양식!H24,"")),"")</f>
        <v/>
      </c>
      <c r="AI29" s="10"/>
      <c r="AJ29" s="10"/>
      <c r="AL29" s="981" t="e">
        <f>IF(#REF!="","",#REF!)</f>
        <v>#REF!</v>
      </c>
      <c r="AM29" s="982" t="e">
        <f>IF(#REF!="","",#REF!)</f>
        <v>#REF!</v>
      </c>
      <c r="AN29" s="983" t="e">
        <f>IF(AND(#REF!="",#REF!=1),"",#REF!)</f>
        <v>#REF!</v>
      </c>
      <c r="AO29" s="984" t="e">
        <f>IF(#REF!="","",#REF!)</f>
        <v>#REF!</v>
      </c>
      <c r="AP29" s="971" t="e">
        <f>IF(#REF!="","",#REF!)</f>
        <v>#REF!</v>
      </c>
      <c r="AQ29" s="985" t="e">
        <f>IF(#REF!="","",#REF!)</f>
        <v>#REF!</v>
      </c>
      <c r="AR29" s="973" t="e">
        <f>IF(#REF!="","",#REF!)</f>
        <v>#REF!</v>
      </c>
      <c r="AS29" s="974" t="e">
        <f>IF(#REF!="","",#REF!)</f>
        <v>#REF!</v>
      </c>
      <c r="AT29" s="975" t="e">
        <f>IF(#REF!="","",#REF!)</f>
        <v>#REF!</v>
      </c>
      <c r="AU29" s="976" t="e">
        <f>IF(#REF!="","",#REF!)</f>
        <v>#REF!</v>
      </c>
      <c r="AV29" s="977" t="e">
        <f>IF(#REF!="","",#REF!)</f>
        <v>#REF!</v>
      </c>
      <c r="AW29" s="986" t="e">
        <f>IF(#REF!="","",#REF!)</f>
        <v>#REF!</v>
      </c>
      <c r="AX29" s="987" t="e">
        <f>IF(#REF!="","",#REF!)</f>
        <v>#REF!</v>
      </c>
    </row>
    <row r="30" spans="1:50">
      <c r="A30" s="689" t="str">
        <f>IF(데이터입력!X40="","X",데이터입력!X40)</f>
        <v>X</v>
      </c>
      <c r="B30" s="690">
        <f>데이터입력!Y40</f>
        <v>0</v>
      </c>
      <c r="C30" s="689" t="str">
        <f>IF(데이터입력!Z40="","X",데이터입력!Z40)</f>
        <v>X</v>
      </c>
      <c r="D30" s="690">
        <f>데이터입력!AA40</f>
        <v>0</v>
      </c>
      <c r="E30" s="689" t="str">
        <f>IF(데이터입력!AB40="","X",데이터입력!AB40)</f>
        <v>X</v>
      </c>
      <c r="F30" s="690">
        <f>데이터입력!AC40</f>
        <v>0</v>
      </c>
      <c r="G30" s="689" t="str">
        <f>IF(데이터입력!AD40="","X",데이터입력!AD40)</f>
        <v>X</v>
      </c>
      <c r="H30" s="690">
        <f>데이터입력!AE40</f>
        <v>0</v>
      </c>
      <c r="I30" s="919">
        <f>IF(G30="X",IF($H$2="추경",데이터입력!$Y$8,12),IF($H$2="추경",데이터입력!AF40,IF(데이터입력!$Y$8=12,데이터입력!AF40,12)))</f>
        <v>12</v>
      </c>
      <c r="K30" s="41"/>
      <c r="L30" s="11"/>
      <c r="M30" s="11"/>
      <c r="N30" s="11"/>
      <c r="O30" s="11" t="str">
        <f>IFERROR(IF(예산업로드양식!E25="","",IF(예산업로드양식!F25="06",예산업로드양식!E25,"")),"")</f>
        <v>시설장비유지비</v>
      </c>
      <c r="P30" s="12">
        <f>IFERROR(IF(예산업로드양식!H25="","",IF(예산업로드양식!F25="06",예산업로드양식!H25,"")),"")</f>
        <v>16800000</v>
      </c>
      <c r="Q30" s="6">
        <f t="shared" si="0"/>
        <v>16800000</v>
      </c>
      <c r="R30" s="12"/>
      <c r="S30" s="165"/>
      <c r="T30" s="41"/>
      <c r="U30" s="11"/>
      <c r="V30" s="11"/>
      <c r="W30" s="11"/>
      <c r="X30" s="11" t="str">
        <f>IFERROR(IF(예산업로드양식!E25="","",IF(예산업로드양식!F25="07",예산업로드양식!E25,"")),"")</f>
        <v/>
      </c>
      <c r="Y30" s="12" t="str">
        <f>IFERROR(IF(예산업로드양식!H25="","",IF(예산업로드양식!F25="07",예산업로드양식!H25,"")),"")</f>
        <v/>
      </c>
      <c r="Z30" s="6" t="str">
        <f t="shared" si="1"/>
        <v/>
      </c>
      <c r="AA30" s="12"/>
      <c r="AB30" s="165"/>
      <c r="AC30" s="41"/>
      <c r="AD30" s="11"/>
      <c r="AE30" s="11"/>
      <c r="AF30" s="11"/>
      <c r="AG30" s="11" t="str">
        <f>IFERROR(IF(예산업로드양식!E25="","",IF(예산업로드양식!F25="05",예산업로드양식!E25,"")),"")</f>
        <v/>
      </c>
      <c r="AH30" s="12" t="str">
        <f>IFERROR(IF(예산업로드양식!H25="","",IF(예산업로드양식!F25="05",예산업로드양식!H25,"")),"")</f>
        <v/>
      </c>
      <c r="AI30" s="12"/>
      <c r="AJ30" s="12"/>
      <c r="AL30" s="981" t="e">
        <f>IF(#REF!="","",#REF!)</f>
        <v>#REF!</v>
      </c>
      <c r="AM30" s="982" t="e">
        <f>IF(#REF!="","",#REF!)</f>
        <v>#REF!</v>
      </c>
      <c r="AN30" s="983" t="e">
        <f>IF(AND(#REF!="",#REF!=1),"",#REF!)</f>
        <v>#REF!</v>
      </c>
      <c r="AO30" s="984" t="e">
        <f>IF(#REF!="","",#REF!)</f>
        <v>#REF!</v>
      </c>
      <c r="AP30" s="971" t="e">
        <f>IF(#REF!="","",#REF!)</f>
        <v>#REF!</v>
      </c>
      <c r="AQ30" s="985" t="e">
        <f>IF(#REF!="","",#REF!)</f>
        <v>#REF!</v>
      </c>
      <c r="AR30" s="973" t="e">
        <f>IF(#REF!="","",#REF!)</f>
        <v>#REF!</v>
      </c>
      <c r="AS30" s="974" t="e">
        <f>IF(#REF!="","",#REF!)</f>
        <v>#REF!</v>
      </c>
      <c r="AT30" s="975" t="e">
        <f>IF(#REF!="","",#REF!)</f>
        <v>#REF!</v>
      </c>
      <c r="AU30" s="976" t="e">
        <f>IF(#REF!="","",#REF!)</f>
        <v>#REF!</v>
      </c>
      <c r="AV30" s="977" t="e">
        <f>IF(#REF!="","",#REF!)</f>
        <v>#REF!</v>
      </c>
      <c r="AW30" s="986" t="e">
        <f>IF(#REF!="","",#REF!)</f>
        <v>#REF!</v>
      </c>
      <c r="AX30" s="987" t="e">
        <f>IF(#REF!="","",#REF!)</f>
        <v>#REF!</v>
      </c>
    </row>
    <row r="31" spans="1:50" ht="17.25" thickBot="1">
      <c r="A31" s="689" t="str">
        <f>IF(데이터입력!X41="","X",데이터입력!X41)</f>
        <v>X</v>
      </c>
      <c r="B31" s="690">
        <f>데이터입력!Y41</f>
        <v>0</v>
      </c>
      <c r="C31" s="689" t="str">
        <f>IF(데이터입력!Z41="","X",데이터입력!Z41)</f>
        <v>X</v>
      </c>
      <c r="D31" s="690">
        <f>데이터입력!AA41</f>
        <v>0</v>
      </c>
      <c r="E31" s="689" t="str">
        <f>IF(데이터입력!AB41="","X",데이터입력!AB41)</f>
        <v>X</v>
      </c>
      <c r="F31" s="690">
        <f>데이터입력!AC41</f>
        <v>0</v>
      </c>
      <c r="G31" s="689" t="str">
        <f>IF(데이터입력!AD41="","X",데이터입력!AD41)</f>
        <v>X</v>
      </c>
      <c r="H31" s="690">
        <f>데이터입력!AE41</f>
        <v>0</v>
      </c>
      <c r="I31" s="919">
        <f>IF(G31="X",IF($H$2="추경",데이터입력!$Y$8,12),IF($H$2="추경",데이터입력!AF41,IF(데이터입력!$Y$8=12,데이터입력!AF41,12)))</f>
        <v>12</v>
      </c>
      <c r="K31" s="40"/>
      <c r="L31" s="9"/>
      <c r="M31" s="9"/>
      <c r="N31" s="9"/>
      <c r="O31" s="9" t="str">
        <f>IFERROR(IF(예산업로드양식!E26="","",IF(예산업로드양식!F26="06",예산업로드양식!E26,"")),"")</f>
        <v>생계비</v>
      </c>
      <c r="P31" s="10">
        <f>IFERROR(IF(예산업로드양식!H26="","",IF(예산업로드양식!F26="06",예산업로드양식!H26,"")),"")</f>
        <v>165735662</v>
      </c>
      <c r="Q31" s="10">
        <f t="shared" si="0"/>
        <v>165735662</v>
      </c>
      <c r="R31" s="10"/>
      <c r="S31" s="165"/>
      <c r="T31" s="40"/>
      <c r="U31" s="9"/>
      <c r="V31" s="9"/>
      <c r="W31" s="9"/>
      <c r="X31" s="9" t="str">
        <f>IFERROR(IF(예산업로드양식!E26="","",IF(예산업로드양식!F26="07",예산업로드양식!E26,"")),"")</f>
        <v/>
      </c>
      <c r="Y31" s="10" t="str">
        <f>IFERROR(IF(예산업로드양식!H26="","",IF(예산업로드양식!F26="07",예산업로드양식!H26,"")),"")</f>
        <v/>
      </c>
      <c r="Z31" s="10" t="str">
        <f t="shared" si="1"/>
        <v/>
      </c>
      <c r="AA31" s="10"/>
      <c r="AB31" s="165"/>
      <c r="AC31" s="40"/>
      <c r="AD31" s="9"/>
      <c r="AE31" s="9"/>
      <c r="AF31" s="9"/>
      <c r="AG31" s="9" t="str">
        <f>IFERROR(IF(예산업로드양식!E26="","",IF(예산업로드양식!F26="05",예산업로드양식!E26,"")),"")</f>
        <v/>
      </c>
      <c r="AH31" s="10" t="str">
        <f>IFERROR(IF(예산업로드양식!H26="","",IF(예산업로드양식!F26="05",예산업로드양식!H26,"")),"")</f>
        <v/>
      </c>
      <c r="AI31" s="10"/>
      <c r="AJ31" s="10"/>
      <c r="AL31" s="981" t="e">
        <f>IF(#REF!="","",#REF!)</f>
        <v>#REF!</v>
      </c>
      <c r="AM31" s="982" t="e">
        <f>IF(#REF!="","",#REF!)</f>
        <v>#REF!</v>
      </c>
      <c r="AN31" s="983" t="e">
        <f>IF(AND(#REF!="",#REF!=1),"",#REF!)</f>
        <v>#REF!</v>
      </c>
      <c r="AO31" s="984" t="e">
        <f>IF(#REF!="","",#REF!)</f>
        <v>#REF!</v>
      </c>
      <c r="AP31" s="971" t="e">
        <f>IF(#REF!="","",#REF!)</f>
        <v>#REF!</v>
      </c>
      <c r="AQ31" s="985" t="e">
        <f>IF(#REF!="","",#REF!)</f>
        <v>#REF!</v>
      </c>
      <c r="AR31" s="973" t="e">
        <f>IF(#REF!="","",#REF!)</f>
        <v>#REF!</v>
      </c>
      <c r="AS31" s="974" t="e">
        <f>IF(#REF!="","",#REF!)</f>
        <v>#REF!</v>
      </c>
      <c r="AT31" s="975" t="e">
        <f>IF(#REF!="","",#REF!)</f>
        <v>#REF!</v>
      </c>
      <c r="AU31" s="976" t="e">
        <f>IF(#REF!="","",#REF!)</f>
        <v>#REF!</v>
      </c>
      <c r="AV31" s="977" t="e">
        <f>IF(#REF!="","",#REF!)</f>
        <v>#REF!</v>
      </c>
      <c r="AW31" s="986" t="e">
        <f>IF(#REF!="","",#REF!)</f>
        <v>#REF!</v>
      </c>
      <c r="AX31" s="987" t="e">
        <f>IF(#REF!="","",#REF!)</f>
        <v>#REF!</v>
      </c>
    </row>
    <row r="32" spans="1:50" ht="17.25" thickBot="1">
      <c r="A32" s="694" t="s">
        <v>216</v>
      </c>
      <c r="B32" s="693"/>
      <c r="C32" s="697" t="s">
        <v>215</v>
      </c>
      <c r="D32" s="698"/>
      <c r="E32" s="699">
        <f>데이터입력!AB42</f>
        <v>0.65</v>
      </c>
      <c r="F32" s="700"/>
      <c r="G32" s="694" t="s">
        <v>183</v>
      </c>
      <c r="H32" s="693"/>
      <c r="I32" s="701" t="s">
        <v>214</v>
      </c>
      <c r="K32" s="41"/>
      <c r="L32" s="11"/>
      <c r="M32" s="11"/>
      <c r="N32" s="11"/>
      <c r="O32" s="11" t="str">
        <f>IFERROR(IF(예산업로드양식!E27="","",IF(예산업로드양식!F27="06",예산업로드양식!E27,"")),"")</f>
        <v>수용기관경비</v>
      </c>
      <c r="P32" s="12">
        <f>IFERROR(IF(예산업로드양식!H27="","",IF(예산업로드양식!F27="06",예산업로드양식!H27,"")),"")</f>
        <v>24000000</v>
      </c>
      <c r="Q32" s="6">
        <f t="shared" si="0"/>
        <v>24000000</v>
      </c>
      <c r="R32" s="12"/>
      <c r="S32" s="165"/>
      <c r="T32" s="41"/>
      <c r="U32" s="11"/>
      <c r="V32" s="11"/>
      <c r="W32" s="11"/>
      <c r="X32" s="11" t="str">
        <f>IFERROR(IF(예산업로드양식!E27="","",IF(예산업로드양식!F27="07",예산업로드양식!E27,"")),"")</f>
        <v/>
      </c>
      <c r="Y32" s="12" t="str">
        <f>IFERROR(IF(예산업로드양식!H27="","",IF(예산업로드양식!F27="07",예산업로드양식!H27,"")),"")</f>
        <v/>
      </c>
      <c r="Z32" s="6" t="str">
        <f t="shared" si="1"/>
        <v/>
      </c>
      <c r="AA32" s="12"/>
      <c r="AB32" s="165"/>
      <c r="AC32" s="41"/>
      <c r="AD32" s="11"/>
      <c r="AE32" s="11"/>
      <c r="AF32" s="11"/>
      <c r="AG32" s="11" t="str">
        <f>IFERROR(IF(예산업로드양식!E27="","",IF(예산업로드양식!F27="05",예산업로드양식!E27,"")),"")</f>
        <v/>
      </c>
      <c r="AH32" s="12" t="str">
        <f>IFERROR(IF(예산업로드양식!H27="","",IF(예산업로드양식!F27="05",예산업로드양식!H27,"")),"")</f>
        <v/>
      </c>
      <c r="AI32" s="12"/>
      <c r="AJ32" s="12"/>
      <c r="AL32" s="981" t="e">
        <f>IF(#REF!="","",#REF!)</f>
        <v>#REF!</v>
      </c>
      <c r="AM32" s="982" t="e">
        <f>IF(#REF!="","",#REF!)</f>
        <v>#REF!</v>
      </c>
      <c r="AN32" s="983" t="e">
        <f>IF(AND(#REF!="",#REF!=1),"",#REF!)</f>
        <v>#REF!</v>
      </c>
      <c r="AO32" s="984" t="e">
        <f>IF(#REF!="","",#REF!)</f>
        <v>#REF!</v>
      </c>
      <c r="AP32" s="971" t="e">
        <f>IF(#REF!="","",#REF!)</f>
        <v>#REF!</v>
      </c>
      <c r="AQ32" s="985" t="e">
        <f>IF(#REF!="","",#REF!)</f>
        <v>#REF!</v>
      </c>
      <c r="AR32" s="973" t="e">
        <f>IF(#REF!="","",#REF!)</f>
        <v>#REF!</v>
      </c>
      <c r="AS32" s="974" t="e">
        <f>IF(#REF!="","",#REF!)</f>
        <v>#REF!</v>
      </c>
      <c r="AT32" s="975" t="e">
        <f>IF(#REF!="","",#REF!)</f>
        <v>#REF!</v>
      </c>
      <c r="AU32" s="976" t="e">
        <f>IF(#REF!="","",#REF!)</f>
        <v>#REF!</v>
      </c>
      <c r="AV32" s="977" t="e">
        <f>IF(#REF!="","",#REF!)</f>
        <v>#REF!</v>
      </c>
      <c r="AW32" s="986" t="e">
        <f>IF(#REF!="","",#REF!)</f>
        <v>#REF!</v>
      </c>
      <c r="AX32" s="987" t="e">
        <f>IF(#REF!="","",#REF!)</f>
        <v>#REF!</v>
      </c>
    </row>
    <row r="33" spans="1:50" ht="17.25" thickBot="1">
      <c r="A33" s="918" t="str">
        <f>IF(데이터입력!X43="","X",데이터입력!X43)</f>
        <v>각종수수료</v>
      </c>
      <c r="B33" s="702"/>
      <c r="C33" s="703" t="s">
        <v>178</v>
      </c>
      <c r="D33" s="693"/>
      <c r="E33" s="694" t="s">
        <v>182</v>
      </c>
      <c r="F33" s="693"/>
      <c r="G33" s="918" t="str">
        <f>IF(데이터입력!AD43="","X",데이터입력!AD43)</f>
        <v>주유비</v>
      </c>
      <c r="H33" s="704"/>
      <c r="I33" s="919">
        <f>IF(G33="X",IF($H$2="추경",데이터입력!$Y$8,12),IF($H$2="추경",데이터입력!AF43,IF(데이터입력!$Y$8=12,데이터입력!AF43,12)))</f>
        <v>12</v>
      </c>
      <c r="K33" s="40"/>
      <c r="L33" s="9"/>
      <c r="M33" s="9"/>
      <c r="N33" s="9"/>
      <c r="O33" s="9" t="str">
        <f>IFERROR(IF(예산업로드양식!E28="","",IF(예산업로드양식!F28="06",예산업로드양식!E28,"")),"")</f>
        <v>의료비</v>
      </c>
      <c r="P33" s="10">
        <f>IFERROR(IF(예산업로드양식!H28="","",IF(예산업로드양식!F28="06",예산업로드양식!H28,"")),"")</f>
        <v>36000000</v>
      </c>
      <c r="Q33" s="10">
        <f t="shared" si="0"/>
        <v>36000000</v>
      </c>
      <c r="R33" s="10"/>
      <c r="S33" s="165"/>
      <c r="T33" s="40"/>
      <c r="U33" s="9"/>
      <c r="V33" s="9"/>
      <c r="W33" s="9"/>
      <c r="X33" s="9" t="str">
        <f>IFERROR(IF(예산업로드양식!E28="","",IF(예산업로드양식!F28="07",예산업로드양식!E28,"")),"")</f>
        <v/>
      </c>
      <c r="Y33" s="10" t="str">
        <f>IFERROR(IF(예산업로드양식!H28="","",IF(예산업로드양식!F28="07",예산업로드양식!H28,"")),"")</f>
        <v/>
      </c>
      <c r="Z33" s="10" t="str">
        <f t="shared" si="1"/>
        <v/>
      </c>
      <c r="AA33" s="10"/>
      <c r="AB33" s="165"/>
      <c r="AC33" s="40"/>
      <c r="AD33" s="9"/>
      <c r="AE33" s="9"/>
      <c r="AF33" s="9"/>
      <c r="AG33" s="9" t="str">
        <f>IFERROR(IF(예산업로드양식!E28="","",IF(예산업로드양식!F28="05",예산업로드양식!E28,"")),"")</f>
        <v/>
      </c>
      <c r="AH33" s="10" t="str">
        <f>IFERROR(IF(예산업로드양식!H28="","",IF(예산업로드양식!F28="05",예산업로드양식!H28,"")),"")</f>
        <v/>
      </c>
      <c r="AI33" s="10"/>
      <c r="AJ33" s="10"/>
      <c r="AL33" s="981" t="e">
        <f>IF(#REF!="","",#REF!)</f>
        <v>#REF!</v>
      </c>
      <c r="AM33" s="982" t="e">
        <f>IF(#REF!="","",#REF!)</f>
        <v>#REF!</v>
      </c>
      <c r="AN33" s="983" t="e">
        <f>IF(AND(#REF!="",#REF!=1),"",#REF!)</f>
        <v>#REF!</v>
      </c>
      <c r="AO33" s="984" t="e">
        <f>IF(#REF!="","",#REF!)</f>
        <v>#REF!</v>
      </c>
      <c r="AP33" s="971" t="e">
        <f>IF(#REF!="","",#REF!)</f>
        <v>#REF!</v>
      </c>
      <c r="AQ33" s="985" t="e">
        <f>IF(#REF!="","",#REF!)</f>
        <v>#REF!</v>
      </c>
      <c r="AR33" s="973" t="e">
        <f>IF(#REF!="","",#REF!)</f>
        <v>#REF!</v>
      </c>
      <c r="AS33" s="974" t="e">
        <f>IF(#REF!="","",#REF!)</f>
        <v>#REF!</v>
      </c>
      <c r="AT33" s="975" t="e">
        <f>IF(#REF!="","",#REF!)</f>
        <v>#REF!</v>
      </c>
      <c r="AU33" s="976" t="e">
        <f>IF(#REF!="","",#REF!)</f>
        <v>#REF!</v>
      </c>
      <c r="AV33" s="977" t="e">
        <f>IF(#REF!="","",#REF!)</f>
        <v>#REF!</v>
      </c>
      <c r="AW33" s="986" t="e">
        <f>IF(#REF!="","",#REF!)</f>
        <v>#REF!</v>
      </c>
      <c r="AX33" s="987" t="e">
        <f>IF(#REF!="","",#REF!)</f>
        <v>#REF!</v>
      </c>
    </row>
    <row r="34" spans="1:50">
      <c r="A34" s="689" t="str">
        <f>IF(데이터입력!Y44=0,"X",데이터입력!X44)</f>
        <v>렌탈료</v>
      </c>
      <c r="B34" s="690">
        <f>데이터입력!Y44</f>
        <v>600000</v>
      </c>
      <c r="C34" s="918" t="str">
        <f>IF(데이터입력!Z44="","X",데이터입력!Z44)</f>
        <v>공공요금</v>
      </c>
      <c r="D34" s="705"/>
      <c r="E34" s="918" t="str">
        <f>IF(데이터입력!AB44="","",데이터입력!AB44)</f>
        <v>각종세금 등</v>
      </c>
      <c r="F34" s="704"/>
      <c r="G34" s="689" t="str">
        <f>IF(데이터입력!AD44="","X",데이터입력!AD44)</f>
        <v>수리비</v>
      </c>
      <c r="H34" s="690">
        <f>데이터입력!AE44</f>
        <v>135000</v>
      </c>
      <c r="I34" s="919">
        <f>IF(G34="X",IF($H$2="추경",데이터입력!$Y$8,12),IF($H$2="추경",데이터입력!AF44,IF(데이터입력!$Y$8=12,데이터입력!AF44,12)))</f>
        <v>12</v>
      </c>
      <c r="K34" s="41"/>
      <c r="L34" s="11"/>
      <c r="M34" s="11"/>
      <c r="N34" s="11"/>
      <c r="O34" s="11" t="str">
        <f>IFERROR(IF(예산업로드양식!E29="","",IF(예산업로드양식!F29="06",예산업로드양식!E29,"")),"")</f>
        <v>프로그램 사업비</v>
      </c>
      <c r="P34" s="12">
        <f>IFERROR(IF(예산업로드양식!H29="","",IF(예산업로드양식!F29="06",예산업로드양식!H29,"")),"")</f>
        <v>14402000</v>
      </c>
      <c r="Q34" s="6">
        <f t="shared" si="0"/>
        <v>14402000</v>
      </c>
      <c r="R34" s="12"/>
      <c r="S34" s="165"/>
      <c r="T34" s="41"/>
      <c r="U34" s="11"/>
      <c r="V34" s="11"/>
      <c r="W34" s="11"/>
      <c r="X34" s="11" t="str">
        <f>IFERROR(IF(예산업로드양식!E29="","",IF(예산업로드양식!F29="07",예산업로드양식!E29,"")),"")</f>
        <v/>
      </c>
      <c r="Y34" s="12" t="str">
        <f>IFERROR(IF(예산업로드양식!H29="","",IF(예산업로드양식!F29="07",예산업로드양식!H29,"")),"")</f>
        <v/>
      </c>
      <c r="Z34" s="6" t="str">
        <f t="shared" si="1"/>
        <v/>
      </c>
      <c r="AA34" s="12"/>
      <c r="AB34" s="165"/>
      <c r="AC34" s="41"/>
      <c r="AD34" s="11"/>
      <c r="AE34" s="11"/>
      <c r="AF34" s="11"/>
      <c r="AG34" s="11" t="str">
        <f>IFERROR(IF(예산업로드양식!E29="","",IF(예산업로드양식!F29="05",예산업로드양식!E29,"")),"")</f>
        <v/>
      </c>
      <c r="AH34" s="12" t="str">
        <f>IFERROR(IF(예산업로드양식!H29="","",IF(예산업로드양식!F29="05",예산업로드양식!H29,"")),"")</f>
        <v/>
      </c>
      <c r="AI34" s="12"/>
      <c r="AJ34" s="12"/>
      <c r="AL34" s="981" t="e">
        <f>IF(#REF!="","",#REF!)</f>
        <v>#REF!</v>
      </c>
      <c r="AM34" s="982" t="e">
        <f>IF(#REF!="","",#REF!)</f>
        <v>#REF!</v>
      </c>
      <c r="AN34" s="983" t="e">
        <f>IF(AND(#REF!="",#REF!=1),"",#REF!)</f>
        <v>#REF!</v>
      </c>
      <c r="AO34" s="984" t="e">
        <f>IF(#REF!="","",#REF!)</f>
        <v>#REF!</v>
      </c>
      <c r="AP34" s="971" t="e">
        <f>IF(#REF!="","",#REF!)</f>
        <v>#REF!</v>
      </c>
      <c r="AQ34" s="985" t="e">
        <f>IF(#REF!="","",#REF!)</f>
        <v>#REF!</v>
      </c>
      <c r="AR34" s="973" t="e">
        <f>IF(#REF!="","",#REF!)</f>
        <v>#REF!</v>
      </c>
      <c r="AS34" s="974" t="e">
        <f>IF(#REF!="","",#REF!)</f>
        <v>#REF!</v>
      </c>
      <c r="AT34" s="975" t="e">
        <f>IF(#REF!="","",#REF!)</f>
        <v>#REF!</v>
      </c>
      <c r="AU34" s="976" t="e">
        <f>IF(#REF!="","",#REF!)</f>
        <v>#REF!</v>
      </c>
      <c r="AV34" s="977" t="e">
        <f>IF(#REF!="","",#REF!)</f>
        <v>#REF!</v>
      </c>
      <c r="AW34" s="986" t="e">
        <f>IF(#REF!="","",#REF!)</f>
        <v>#REF!</v>
      </c>
      <c r="AX34" s="987" t="e">
        <f>IF(#REF!="","",#REF!)</f>
        <v>#REF!</v>
      </c>
    </row>
    <row r="35" spans="1:50">
      <c r="A35" s="689" t="str">
        <f>IF(데이터입력!Y45=0,"X",데이터입력!X45)</f>
        <v>사무용품</v>
      </c>
      <c r="B35" s="690">
        <f>데이터입력!Y45</f>
        <v>600000</v>
      </c>
      <c r="C35" s="689" t="str">
        <f>IF(데이터입력!AA45=0,"X",데이터입력!Z45)</f>
        <v>TV,통신요금 등</v>
      </c>
      <c r="D35" s="690">
        <f>데이터입력!AA45</f>
        <v>800000</v>
      </c>
      <c r="E35" s="689" t="str">
        <f>IF(데이터입력!AC45=0,"X",데이터입력!AB45)</f>
        <v>각종공과금 등</v>
      </c>
      <c r="F35" s="690">
        <f>데이터입력!AC45</f>
        <v>1000000</v>
      </c>
      <c r="G35" s="689" t="str">
        <f>IF(데이터입력!AD45="","X",데이터입력!AD45)</f>
        <v>X</v>
      </c>
      <c r="H35" s="690">
        <f>데이터입력!AE45</f>
        <v>0</v>
      </c>
      <c r="I35" s="919">
        <f>IF(G35="X",IF($H$2="추경",데이터입력!$Y$8,12),IF($H$2="추경",데이터입력!AF45,IF(데이터입력!$Y$8=12,데이터입력!AF45,12)))</f>
        <v>12</v>
      </c>
      <c r="K35" s="40"/>
      <c r="L35" s="9"/>
      <c r="M35" s="9"/>
      <c r="N35" s="9"/>
      <c r="O35" s="9" t="str">
        <f>IFERROR(IF(예산업로드양식!E30="","",IF(예산업로드양식!F30="06",예산업로드양식!E30,"")),"")</f>
        <v>기타전출금</v>
      </c>
      <c r="P35" s="10">
        <f>IFERROR(IF(예산업로드양식!H30="","",IF(예산업로드양식!F30="06",예산업로드양식!H30,"")),"")</f>
        <v>177000000</v>
      </c>
      <c r="Q35" s="10">
        <f t="shared" si="0"/>
        <v>177000000</v>
      </c>
      <c r="R35" s="10"/>
      <c r="S35" s="165"/>
      <c r="T35" s="40"/>
      <c r="U35" s="9"/>
      <c r="V35" s="9"/>
      <c r="W35" s="9"/>
      <c r="X35" s="9" t="str">
        <f>IFERROR(IF(예산업로드양식!E30="","",IF(예산업로드양식!F30="07",예산업로드양식!E30,"")),"")</f>
        <v/>
      </c>
      <c r="Y35" s="10" t="str">
        <f>IFERROR(IF(예산업로드양식!H30="","",IF(예산업로드양식!F30="07",예산업로드양식!H30,"")),"")</f>
        <v/>
      </c>
      <c r="Z35" s="10" t="str">
        <f t="shared" si="1"/>
        <v/>
      </c>
      <c r="AA35" s="10"/>
      <c r="AB35" s="165"/>
      <c r="AC35" s="40"/>
      <c r="AD35" s="9"/>
      <c r="AE35" s="9"/>
      <c r="AF35" s="9"/>
      <c r="AG35" s="9" t="str">
        <f>IFERROR(IF(예산업로드양식!E30="","",IF(예산업로드양식!F30="05",예산업로드양식!E30,"")),"")</f>
        <v/>
      </c>
      <c r="AH35" s="10" t="str">
        <f>IFERROR(IF(예산업로드양식!H30="","",IF(예산업로드양식!F30="05",예산업로드양식!H30,"")),"")</f>
        <v/>
      </c>
      <c r="AI35" s="10"/>
      <c r="AJ35" s="10"/>
      <c r="AL35" s="981" t="e">
        <f>IF(#REF!="","",#REF!)</f>
        <v>#REF!</v>
      </c>
      <c r="AM35" s="982" t="e">
        <f>IF(#REF!="","",#REF!)</f>
        <v>#REF!</v>
      </c>
      <c r="AN35" s="983" t="e">
        <f>IF(AND(#REF!="",#REF!=1),"",#REF!)</f>
        <v>#REF!</v>
      </c>
      <c r="AO35" s="984" t="e">
        <f>IF(#REF!="","",#REF!)</f>
        <v>#REF!</v>
      </c>
      <c r="AP35" s="971" t="e">
        <f>IF(#REF!="","",#REF!)</f>
        <v>#REF!</v>
      </c>
      <c r="AQ35" s="985" t="e">
        <f>IF(#REF!="","",#REF!)</f>
        <v>#REF!</v>
      </c>
      <c r="AR35" s="973" t="e">
        <f>IF(#REF!="","",#REF!)</f>
        <v>#REF!</v>
      </c>
      <c r="AS35" s="974" t="e">
        <f>IF(#REF!="","",#REF!)</f>
        <v>#REF!</v>
      </c>
      <c r="AT35" s="975" t="e">
        <f>IF(#REF!="","",#REF!)</f>
        <v>#REF!</v>
      </c>
      <c r="AU35" s="976" t="e">
        <f>IF(#REF!="","",#REF!)</f>
        <v>#REF!</v>
      </c>
      <c r="AV35" s="977" t="e">
        <f>IF(#REF!="","",#REF!)</f>
        <v>#REF!</v>
      </c>
      <c r="AW35" s="986" t="e">
        <f>IF(#REF!="","",#REF!)</f>
        <v>#REF!</v>
      </c>
      <c r="AX35" s="987" t="e">
        <f>IF(#REF!="","",#REF!)</f>
        <v>#REF!</v>
      </c>
    </row>
    <row r="36" spans="1:50">
      <c r="A36" s="689" t="str">
        <f>IF(데이터입력!Y46=0,"X",데이터입력!X46)</f>
        <v>기타(소독,점검비 등)</v>
      </c>
      <c r="B36" s="690">
        <f>데이터입력!Y46</f>
        <v>1000000</v>
      </c>
      <c r="C36" s="689" t="str">
        <f>IF(데이터입력!AA46=0,"X",데이터입력!Z46)</f>
        <v>기타(관리비 등)</v>
      </c>
      <c r="D36" s="690">
        <f>데이터입력!AA46</f>
        <v>2500000</v>
      </c>
      <c r="E36" s="689" t="str">
        <f>IF(데이터입력!AC46=0,"X",데이터입력!AB46)</f>
        <v>기타(보험료 등)</v>
      </c>
      <c r="F36" s="690">
        <f>데이터입력!AC46</f>
        <v>1000000</v>
      </c>
      <c r="G36" s="689" t="str">
        <f>IF(데이터입력!AD46="","X",데이터입력!AD46)</f>
        <v>X</v>
      </c>
      <c r="H36" s="690">
        <f>데이터입력!AE46</f>
        <v>0</v>
      </c>
      <c r="I36" s="919">
        <f>IF(G36="X",IF($H$2="추경",데이터입력!$Y$8,12),IF($H$2="추경",데이터입력!AF46,IF(데이터입력!$Y$8=12,데이터입력!AF46,12)))</f>
        <v>12</v>
      </c>
      <c r="K36" s="41"/>
      <c r="L36" s="11"/>
      <c r="M36" s="11"/>
      <c r="N36" s="11"/>
      <c r="O36" s="11" t="str">
        <f>IFERROR(IF(예산업로드양식!E31="","",IF(예산업로드양식!F31="06",예산업로드양식!E31,"")),"")</f>
        <v>잡지출</v>
      </c>
      <c r="P36" s="12">
        <f>IFERROR(IF(예산업로드양식!H31="","",IF(예산업로드양식!F31="06",예산업로드양식!H31,"")),"")</f>
        <v>1087016977</v>
      </c>
      <c r="Q36" s="6">
        <f t="shared" si="0"/>
        <v>1087016977</v>
      </c>
      <c r="R36" s="12"/>
      <c r="S36" s="165"/>
      <c r="T36" s="41"/>
      <c r="U36" s="11"/>
      <c r="V36" s="11"/>
      <c r="W36" s="11"/>
      <c r="X36" s="11" t="str">
        <f>IFERROR(IF(예산업로드양식!E31="","",IF(예산업로드양식!F31="07",예산업로드양식!E31,"")),"")</f>
        <v/>
      </c>
      <c r="Y36" s="12" t="str">
        <f>IFERROR(IF(예산업로드양식!H31="","",IF(예산업로드양식!F31="07",예산업로드양식!H31,"")),"")</f>
        <v/>
      </c>
      <c r="Z36" s="6" t="str">
        <f t="shared" si="1"/>
        <v/>
      </c>
      <c r="AA36" s="12"/>
      <c r="AB36" s="165"/>
      <c r="AC36" s="41"/>
      <c r="AD36" s="11"/>
      <c r="AE36" s="11"/>
      <c r="AF36" s="11"/>
      <c r="AG36" s="11" t="str">
        <f>IFERROR(IF(예산업로드양식!E31="","",IF(예산업로드양식!F31="05",예산업로드양식!E31,"")),"")</f>
        <v/>
      </c>
      <c r="AH36" s="12" t="str">
        <f>IFERROR(IF(예산업로드양식!H31="","",IF(예산업로드양식!F31="05",예산업로드양식!H31,"")),"")</f>
        <v/>
      </c>
      <c r="AI36" s="12"/>
      <c r="AJ36" s="12"/>
      <c r="AL36" s="981" t="e">
        <f>IF(#REF!="","",#REF!)</f>
        <v>#REF!</v>
      </c>
      <c r="AM36" s="982" t="e">
        <f>IF(#REF!="","",#REF!)</f>
        <v>#REF!</v>
      </c>
      <c r="AN36" s="983" t="e">
        <f>IF(AND(#REF!="",#REF!=1),"",#REF!)</f>
        <v>#REF!</v>
      </c>
      <c r="AO36" s="984" t="e">
        <f>IF(#REF!="","",#REF!)</f>
        <v>#REF!</v>
      </c>
      <c r="AP36" s="971" t="e">
        <f>IF(#REF!="","",#REF!)</f>
        <v>#REF!</v>
      </c>
      <c r="AQ36" s="985" t="e">
        <f>IF(#REF!="","",#REF!)</f>
        <v>#REF!</v>
      </c>
      <c r="AR36" s="973" t="e">
        <f>IF(#REF!="","",#REF!)</f>
        <v>#REF!</v>
      </c>
      <c r="AS36" s="974" t="e">
        <f>IF(#REF!="","",#REF!)</f>
        <v>#REF!</v>
      </c>
      <c r="AT36" s="975" t="e">
        <f>IF(#REF!="","",#REF!)</f>
        <v>#REF!</v>
      </c>
      <c r="AU36" s="976" t="e">
        <f>IF(#REF!="","",#REF!)</f>
        <v>#REF!</v>
      </c>
      <c r="AV36" s="977" t="e">
        <f>IF(#REF!="","",#REF!)</f>
        <v>#REF!</v>
      </c>
      <c r="AW36" s="986" t="e">
        <f>IF(#REF!="","",#REF!)</f>
        <v>#REF!</v>
      </c>
      <c r="AX36" s="987" t="e">
        <f>IF(#REF!="","",#REF!)</f>
        <v>#REF!</v>
      </c>
    </row>
    <row r="37" spans="1:50">
      <c r="A37" s="689" t="str">
        <f>IF(데이터입력!X47="","X",데이터입력!X47)</f>
        <v>X</v>
      </c>
      <c r="B37" s="690">
        <f>데이터입력!Y47</f>
        <v>0</v>
      </c>
      <c r="C37" s="689" t="str">
        <f>IF(데이터입력!Z47="","X",데이터입력!Z47)</f>
        <v>X</v>
      </c>
      <c r="D37" s="690">
        <f>데이터입력!AA47</f>
        <v>0</v>
      </c>
      <c r="E37" s="689" t="str">
        <f>IF(데이터입력!AC47=0,"X",데이터입력!AB47)</f>
        <v>X</v>
      </c>
      <c r="F37" s="690">
        <f>데이터입력!AC47</f>
        <v>0</v>
      </c>
      <c r="G37" s="689" t="str">
        <f>IF(데이터입력!AD47="","X",데이터입력!AD47)</f>
        <v>X</v>
      </c>
      <c r="H37" s="690">
        <f>데이터입력!AE47</f>
        <v>0</v>
      </c>
      <c r="I37" s="919">
        <f>IF(G37="X",IF($H$2="추경",데이터입력!$Y$8,12),IF($H$2="추경",데이터입력!AF47,IF(데이터입력!$Y$8=12,데이터입력!AF47,12)))</f>
        <v>12</v>
      </c>
      <c r="K37" s="40"/>
      <c r="L37" s="9"/>
      <c r="M37" s="9"/>
      <c r="N37" s="9"/>
      <c r="O37" s="9" t="str">
        <f>IFERROR(IF(예산업로드양식!E32="","",IF(예산업로드양식!F32="06",예산업로드양식!E32,"")),"")</f>
        <v>예비비</v>
      </c>
      <c r="P37" s="10">
        <f>IFERROR(IF(예산업로드양식!H32="","",IF(예산업로드양식!F32="06",예산업로드양식!H32,"")),"")</f>
        <v>2000000</v>
      </c>
      <c r="Q37" s="10">
        <f t="shared" si="0"/>
        <v>2000000</v>
      </c>
      <c r="R37" s="10"/>
      <c r="S37" s="165"/>
      <c r="T37" s="40"/>
      <c r="U37" s="9"/>
      <c r="V37" s="9"/>
      <c r="W37" s="9"/>
      <c r="X37" s="9" t="str">
        <f>IFERROR(IF(예산업로드양식!E32="","",IF(예산업로드양식!F32="07",예산업로드양식!E32,"")),"")</f>
        <v/>
      </c>
      <c r="Y37" s="10" t="str">
        <f>IFERROR(IF(예산업로드양식!H32="","",IF(예산업로드양식!F32="07",예산업로드양식!H32,"")),"")</f>
        <v/>
      </c>
      <c r="Z37" s="10" t="str">
        <f t="shared" si="1"/>
        <v/>
      </c>
      <c r="AA37" s="10"/>
      <c r="AB37" s="165"/>
      <c r="AC37" s="40"/>
      <c r="AD37" s="9"/>
      <c r="AE37" s="9"/>
      <c r="AF37" s="9"/>
      <c r="AG37" s="9" t="str">
        <f>IFERROR(IF(예산업로드양식!E32="","",IF(예산업로드양식!F32="05",예산업로드양식!E32,"")),"")</f>
        <v/>
      </c>
      <c r="AH37" s="10" t="str">
        <f>IFERROR(IF(예산업로드양식!H32="","",IF(예산업로드양식!F32="05",예산업로드양식!H32,"")),"")</f>
        <v/>
      </c>
      <c r="AI37" s="10"/>
      <c r="AJ37" s="10"/>
      <c r="AL37" s="981" t="e">
        <f>IF(#REF!="","",#REF!)</f>
        <v>#REF!</v>
      </c>
      <c r="AM37" s="982" t="e">
        <f>IF(#REF!="","",#REF!)</f>
        <v>#REF!</v>
      </c>
      <c r="AN37" s="983" t="e">
        <f>IF(AND(#REF!="",#REF!=1),"",#REF!)</f>
        <v>#REF!</v>
      </c>
      <c r="AO37" s="984" t="e">
        <f>IF(#REF!="","",#REF!)</f>
        <v>#REF!</v>
      </c>
      <c r="AP37" s="971" t="e">
        <f>IF(#REF!="","",#REF!)</f>
        <v>#REF!</v>
      </c>
      <c r="AQ37" s="985" t="e">
        <f>IF(#REF!="","",#REF!)</f>
        <v>#REF!</v>
      </c>
      <c r="AR37" s="973" t="e">
        <f>IF(#REF!="","",#REF!)</f>
        <v>#REF!</v>
      </c>
      <c r="AS37" s="974" t="e">
        <f>IF(#REF!="","",#REF!)</f>
        <v>#REF!</v>
      </c>
      <c r="AT37" s="975" t="e">
        <f>IF(#REF!="","",#REF!)</f>
        <v>#REF!</v>
      </c>
      <c r="AU37" s="976" t="e">
        <f>IF(#REF!="","",#REF!)</f>
        <v>#REF!</v>
      </c>
      <c r="AV37" s="977" t="e">
        <f>IF(#REF!="","",#REF!)</f>
        <v>#REF!</v>
      </c>
      <c r="AW37" s="986" t="e">
        <f>IF(#REF!="","",#REF!)</f>
        <v>#REF!</v>
      </c>
      <c r="AX37" s="987" t="e">
        <f>IF(#REF!="","",#REF!)</f>
        <v>#REF!</v>
      </c>
    </row>
    <row r="38" spans="1:50">
      <c r="A38" s="689" t="str">
        <f>IF(데이터입력!X48="","X",데이터입력!X48)</f>
        <v>X</v>
      </c>
      <c r="B38" s="690">
        <f>데이터입력!Y48</f>
        <v>0</v>
      </c>
      <c r="C38" s="689" t="str">
        <f>IF(데이터입력!Z48="","X",데이터입력!Z48)</f>
        <v>X</v>
      </c>
      <c r="D38" s="690">
        <f>데이터입력!AA48</f>
        <v>0</v>
      </c>
      <c r="E38" s="689" t="str">
        <f>IF(데이터입력!AC48=0,"X",데이터입력!AB48)</f>
        <v>X</v>
      </c>
      <c r="F38" s="690">
        <f>데이터입력!AC48</f>
        <v>0</v>
      </c>
      <c r="G38" s="689" t="str">
        <f>IF(데이터입력!AD48="","X",데이터입력!AD48)</f>
        <v>X</v>
      </c>
      <c r="H38" s="690">
        <f>데이터입력!AE48</f>
        <v>0</v>
      </c>
      <c r="I38" s="919">
        <f>IF(G38="X",IF($H$2="추경",데이터입력!$Y$8,12),IF($H$2="추경",데이터입력!AF48,IF(데이터입력!$Y$8=12,데이터입력!AF48,12)))</f>
        <v>12</v>
      </c>
      <c r="K38" s="41"/>
      <c r="L38" s="11"/>
      <c r="M38" s="11"/>
      <c r="N38" s="11"/>
      <c r="O38" s="11" t="str">
        <f>IFERROR(IF(예산업로드양식!E33="","",IF(예산업로드양식!F33="06",예산업로드양식!E33,"")),"")</f>
        <v/>
      </c>
      <c r="P38" s="12" t="str">
        <f>IFERROR(IF(예산업로드양식!H33="","",IF(예산업로드양식!F33="06",예산업로드양식!H33,"")),"")</f>
        <v/>
      </c>
      <c r="Q38" s="6" t="str">
        <f t="shared" si="0"/>
        <v/>
      </c>
      <c r="R38" s="12"/>
      <c r="S38" s="165"/>
      <c r="T38" s="41"/>
      <c r="U38" s="11"/>
      <c r="V38" s="11"/>
      <c r="W38" s="11"/>
      <c r="X38" s="11" t="str">
        <f>IFERROR(IF(예산업로드양식!E33="","",IF(예산업로드양식!F33="07",예산업로드양식!E33,"")),"")</f>
        <v>생계비</v>
      </c>
      <c r="Y38" s="12">
        <f>IFERROR(IF(예산업로드양식!H33="","",IF(예산업로드양식!F33="07",예산업로드양식!H33,"")),"")</f>
        <v>59280000</v>
      </c>
      <c r="Z38" s="6">
        <f t="shared" si="1"/>
        <v>59280000</v>
      </c>
      <c r="AA38" s="12"/>
      <c r="AB38" s="165"/>
      <c r="AC38" s="41"/>
      <c r="AD38" s="11"/>
      <c r="AE38" s="11"/>
      <c r="AF38" s="11"/>
      <c r="AG38" s="11" t="str">
        <f>IFERROR(IF(예산업로드양식!E33="","",IF(예산업로드양식!F33="05",예산업로드양식!E33,"")),"")</f>
        <v/>
      </c>
      <c r="AH38" s="12" t="str">
        <f>IFERROR(IF(예산업로드양식!H33="","",IF(예산업로드양식!F33="05",예산업로드양식!H33,"")),"")</f>
        <v/>
      </c>
      <c r="AI38" s="12"/>
      <c r="AJ38" s="12"/>
      <c r="AL38" s="981" t="e">
        <f>IF(#REF!="","",#REF!)</f>
        <v>#REF!</v>
      </c>
      <c r="AM38" s="982" t="e">
        <f>IF(#REF!="","",#REF!)</f>
        <v>#REF!</v>
      </c>
      <c r="AN38" s="983" t="e">
        <f>IF(AND(#REF!="",#REF!=1),"",#REF!)</f>
        <v>#REF!</v>
      </c>
      <c r="AO38" s="984" t="e">
        <f>IF(#REF!="","",#REF!)</f>
        <v>#REF!</v>
      </c>
      <c r="AP38" s="971" t="e">
        <f>IF(#REF!="","",#REF!)</f>
        <v>#REF!</v>
      </c>
      <c r="AQ38" s="985" t="e">
        <f>IF(#REF!="","",#REF!)</f>
        <v>#REF!</v>
      </c>
      <c r="AR38" s="973" t="e">
        <f>IF(#REF!="","",#REF!)</f>
        <v>#REF!</v>
      </c>
      <c r="AS38" s="974" t="e">
        <f>IF(#REF!="","",#REF!)</f>
        <v>#REF!</v>
      </c>
      <c r="AT38" s="975" t="e">
        <f>IF(#REF!="","",#REF!)</f>
        <v>#REF!</v>
      </c>
      <c r="AU38" s="976" t="e">
        <f>IF(#REF!="","",#REF!)</f>
        <v>#REF!</v>
      </c>
      <c r="AV38" s="977" t="e">
        <f>IF(#REF!="","",#REF!)</f>
        <v>#REF!</v>
      </c>
      <c r="AW38" s="986" t="e">
        <f>IF(#REF!="","",#REF!)</f>
        <v>#REF!</v>
      </c>
      <c r="AX38" s="987" t="e">
        <f>IF(#REF!="","",#REF!)</f>
        <v>#REF!</v>
      </c>
    </row>
    <row r="39" spans="1:50" ht="17.25" thickBot="1">
      <c r="A39" s="689" t="str">
        <f>IF(데이터입력!X49="","X",데이터입력!X49)</f>
        <v>X</v>
      </c>
      <c r="B39" s="690">
        <f>데이터입력!Y49</f>
        <v>0</v>
      </c>
      <c r="C39" s="689" t="str">
        <f>IF(데이터입력!Z49="","X",데이터입력!Z49)</f>
        <v>X</v>
      </c>
      <c r="D39" s="690">
        <f>데이터입력!AA49</f>
        <v>0</v>
      </c>
      <c r="E39" s="689" t="str">
        <f>IF(데이터입력!AC49=0,"X",데이터입력!AB49)</f>
        <v>X</v>
      </c>
      <c r="F39" s="690">
        <f>데이터입력!AC49</f>
        <v>0</v>
      </c>
      <c r="G39" s="689" t="str">
        <f>IF(데이터입력!AD49="","X",데이터입력!AD49)</f>
        <v>X</v>
      </c>
      <c r="H39" s="690">
        <f>데이터입력!AE49</f>
        <v>0</v>
      </c>
      <c r="I39" s="919">
        <f>IF(G39="X",IF($H$2="추경",데이터입력!$Y$8,12),IF($H$2="추경",데이터입력!AF49,IF(데이터입력!$Y$8=12,데이터입력!AF49,12)))</f>
        <v>12</v>
      </c>
      <c r="K39" s="40"/>
      <c r="L39" s="9"/>
      <c r="M39" s="9"/>
      <c r="N39" s="9"/>
      <c r="O39" s="9" t="str">
        <f>IFERROR(IF(예산업로드양식!E34="","",IF(예산업로드양식!F34="06",예산업로드양식!E34,"")),"")</f>
        <v/>
      </c>
      <c r="P39" s="10" t="str">
        <f>IFERROR(IF(예산업로드양식!H34="","",IF(예산업로드양식!F34="06",예산업로드양식!H34,"")),"")</f>
        <v/>
      </c>
      <c r="Q39" s="10" t="str">
        <f t="shared" si="0"/>
        <v/>
      </c>
      <c r="R39" s="10"/>
      <c r="S39" s="165"/>
      <c r="T39" s="40"/>
      <c r="U39" s="9"/>
      <c r="V39" s="9"/>
      <c r="W39" s="9"/>
      <c r="X39" s="9" t="str">
        <f>IFERROR(IF(예산업로드양식!E34="","",IF(예산업로드양식!F34="07",예산업로드양식!E34,"")),"")</f>
        <v>반환금</v>
      </c>
      <c r="Y39" s="10">
        <f>IFERROR(IF(예산업로드양식!H34="","",IF(예산업로드양식!F34="07",예산업로드양식!H34,"")),"")</f>
        <v>10000</v>
      </c>
      <c r="Z39" s="10">
        <f t="shared" si="1"/>
        <v>10000</v>
      </c>
      <c r="AA39" s="10"/>
      <c r="AB39" s="165"/>
      <c r="AC39" s="40"/>
      <c r="AD39" s="9"/>
      <c r="AE39" s="9"/>
      <c r="AF39" s="9"/>
      <c r="AG39" s="9" t="str">
        <f>IFERROR(IF(예산업로드양식!E34="","",IF(예산업로드양식!F34="05",예산업로드양식!E34,"")),"")</f>
        <v/>
      </c>
      <c r="AH39" s="10" t="str">
        <f>IFERROR(IF(예산업로드양식!H34="","",IF(예산업로드양식!F34="05",예산업로드양식!H34,"")),"")</f>
        <v/>
      </c>
      <c r="AI39" s="10"/>
      <c r="AJ39" s="10"/>
      <c r="AL39" s="981" t="e">
        <f>IF(#REF!="","",#REF!)</f>
        <v>#REF!</v>
      </c>
      <c r="AM39" s="982" t="e">
        <f>IF(#REF!="","",#REF!)</f>
        <v>#REF!</v>
      </c>
      <c r="AN39" s="983" t="e">
        <f>IF(AND(#REF!="",#REF!=1),"",#REF!)</f>
        <v>#REF!</v>
      </c>
      <c r="AO39" s="984" t="e">
        <f>IF(#REF!="","",#REF!)</f>
        <v>#REF!</v>
      </c>
      <c r="AP39" s="971" t="e">
        <f>IF(#REF!="","",#REF!)</f>
        <v>#REF!</v>
      </c>
      <c r="AQ39" s="985" t="e">
        <f>IF(#REF!="","",#REF!)</f>
        <v>#REF!</v>
      </c>
      <c r="AR39" s="973" t="e">
        <f>IF(#REF!="","",#REF!)</f>
        <v>#REF!</v>
      </c>
      <c r="AS39" s="974" t="e">
        <f>IF(#REF!="","",#REF!)</f>
        <v>#REF!</v>
      </c>
      <c r="AT39" s="975" t="e">
        <f>IF(#REF!="","",#REF!)</f>
        <v>#REF!</v>
      </c>
      <c r="AU39" s="976" t="e">
        <f>IF(#REF!="","",#REF!)</f>
        <v>#REF!</v>
      </c>
      <c r="AV39" s="977" t="e">
        <f>IF(#REF!="","",#REF!)</f>
        <v>#REF!</v>
      </c>
      <c r="AW39" s="986" t="e">
        <f>IF(#REF!="","",#REF!)</f>
        <v>#REF!</v>
      </c>
      <c r="AX39" s="987" t="e">
        <f>IF(#REF!="","",#REF!)</f>
        <v>#REF!</v>
      </c>
    </row>
    <row r="40" spans="1:50" ht="17.25" thickBot="1">
      <c r="A40" s="697" t="s">
        <v>171</v>
      </c>
      <c r="B40" s="706"/>
      <c r="C40" s="701" t="s">
        <v>184</v>
      </c>
      <c r="D40" s="701" t="s">
        <v>214</v>
      </c>
      <c r="E40" s="694" t="s">
        <v>185</v>
      </c>
      <c r="F40" s="706"/>
      <c r="G40" s="694" t="s">
        <v>130</v>
      </c>
      <c r="H40" s="706"/>
      <c r="I40" s="701" t="s">
        <v>214</v>
      </c>
      <c r="K40" s="41"/>
      <c r="L40" s="11"/>
      <c r="M40" s="11"/>
      <c r="N40" s="11"/>
      <c r="O40" s="11" t="str">
        <f>IFERROR(IF(예산업로드양식!E35="","",IF(예산업로드양식!F35="06",예산업로드양식!E35,"")),"")</f>
        <v/>
      </c>
      <c r="P40" s="12" t="str">
        <f>IFERROR(IF(예산업로드양식!H35="","",IF(예산업로드양식!F35="06",예산업로드양식!H35,"")),"")</f>
        <v/>
      </c>
      <c r="Q40" s="6" t="str">
        <f t="shared" si="0"/>
        <v/>
      </c>
      <c r="R40" s="12"/>
      <c r="S40" s="165"/>
      <c r="T40" s="41"/>
      <c r="U40" s="11"/>
      <c r="V40" s="11"/>
      <c r="W40" s="11"/>
      <c r="X40" s="11" t="str">
        <f>IFERROR(IF(예산업로드양식!E35="","",IF(예산업로드양식!F35="07",예산업로드양식!E35,"")),"")</f>
        <v/>
      </c>
      <c r="Y40" s="12" t="str">
        <f>IFERROR(IF(예산업로드양식!H35="","",IF(예산업로드양식!F35="07",예산업로드양식!H35,"")),"")</f>
        <v/>
      </c>
      <c r="Z40" s="6" t="str">
        <f t="shared" si="1"/>
        <v/>
      </c>
      <c r="AA40" s="12"/>
      <c r="AB40" s="165"/>
      <c r="AC40" s="41"/>
      <c r="AD40" s="11"/>
      <c r="AE40" s="11"/>
      <c r="AF40" s="11"/>
      <c r="AG40" s="11" t="str">
        <f>IFERROR(IF(예산업로드양식!E35="","",IF(예산업로드양식!F35="05",예산업로드양식!E35,"")),"")</f>
        <v/>
      </c>
      <c r="AH40" s="12" t="str">
        <f>IFERROR(IF(예산업로드양식!H35="","",IF(예산업로드양식!F35="05",예산업로드양식!H35,"")),"")</f>
        <v/>
      </c>
      <c r="AI40" s="12"/>
      <c r="AJ40" s="12"/>
      <c r="AL40" s="981" t="e">
        <f>IF(#REF!="","",#REF!)</f>
        <v>#REF!</v>
      </c>
      <c r="AM40" s="982" t="e">
        <f>IF(#REF!="","",#REF!)</f>
        <v>#REF!</v>
      </c>
      <c r="AN40" s="983" t="e">
        <f>IF(AND(#REF!="",#REF!=1),"",#REF!)</f>
        <v>#REF!</v>
      </c>
      <c r="AO40" s="984" t="e">
        <f>IF(#REF!="","",#REF!)</f>
        <v>#REF!</v>
      </c>
      <c r="AP40" s="971" t="e">
        <f>IF(#REF!="","",#REF!)</f>
        <v>#REF!</v>
      </c>
      <c r="AQ40" s="985" t="e">
        <f>IF(#REF!="","",#REF!)</f>
        <v>#REF!</v>
      </c>
      <c r="AR40" s="973" t="e">
        <f>IF(#REF!="","",#REF!)</f>
        <v>#REF!</v>
      </c>
      <c r="AS40" s="974" t="e">
        <f>IF(#REF!="","",#REF!)</f>
        <v>#REF!</v>
      </c>
      <c r="AT40" s="975" t="e">
        <f>IF(#REF!="","",#REF!)</f>
        <v>#REF!</v>
      </c>
      <c r="AU40" s="976" t="e">
        <f>IF(#REF!="","",#REF!)</f>
        <v>#REF!</v>
      </c>
      <c r="AV40" s="977" t="e">
        <f>IF(#REF!="","",#REF!)</f>
        <v>#REF!</v>
      </c>
      <c r="AW40" s="986" t="e">
        <f>IF(#REF!="","",#REF!)</f>
        <v>#REF!</v>
      </c>
      <c r="AX40" s="987" t="e">
        <f>IF(#REF!="","",#REF!)</f>
        <v>#REF!</v>
      </c>
    </row>
    <row r="41" spans="1:50">
      <c r="A41" s="918" t="str">
        <f>IF(데이터입력!X51="","X",데이터입력!X51)</f>
        <v>기타운영비</v>
      </c>
      <c r="B41" s="707"/>
      <c r="C41" s="710" t="str">
        <f>IF(데이터입력!Z51="","X",데이터입력!Z51)</f>
        <v>X</v>
      </c>
      <c r="D41" s="919">
        <f>IF(B41="X",IF($H$2="추경",데이터입력!$Y$8,12),IF($H$2="추경",데이터입력!AA51,IF(데이터입력!$Y$8=12,데이터입력!AA51,12)))</f>
        <v>12</v>
      </c>
      <c r="E41" s="918" t="str">
        <f>IF(데이터입력!AB51="","X",데이터입력!AB51)</f>
        <v>비품구입비</v>
      </c>
      <c r="F41" s="704"/>
      <c r="G41" s="918" t="str">
        <f>IF(데이터입력!AD51="","X",데이터입력!AD51)</f>
        <v>기저귀 등</v>
      </c>
      <c r="H41" s="704"/>
      <c r="I41" s="919">
        <f>IF(G41="X",IF($H$2="추경",데이터입력!$Y$8,12),IF($H$2="추경",데이터입력!AF51,IF(데이터입력!$Y$8=12,데이터입력!AF51,12)))</f>
        <v>12</v>
      </c>
      <c r="K41" s="40"/>
      <c r="L41" s="9"/>
      <c r="M41" s="9"/>
      <c r="N41" s="9"/>
      <c r="O41" s="9" t="str">
        <f>IFERROR(IF(예산업로드양식!E36="","",IF(예산업로드양식!F36="06",예산업로드양식!E36,"")),"")</f>
        <v/>
      </c>
      <c r="P41" s="10" t="str">
        <f>IFERROR(IF(예산업로드양식!H36="","",IF(예산업로드양식!F36="06",예산업로드양식!H36,"")),"")</f>
        <v/>
      </c>
      <c r="Q41" s="10" t="str">
        <f t="shared" si="0"/>
        <v/>
      </c>
      <c r="R41" s="10"/>
      <c r="S41" s="165"/>
      <c r="T41" s="40"/>
      <c r="U41" s="9"/>
      <c r="V41" s="9"/>
      <c r="W41" s="9"/>
      <c r="X41" s="9" t="str">
        <f>IFERROR(IF(예산업로드양식!E36="","",IF(예산업로드양식!F36="07",예산업로드양식!E36,"")),"")</f>
        <v/>
      </c>
      <c r="Y41" s="10" t="str">
        <f>IFERROR(IF(예산업로드양식!H36="","",IF(예산업로드양식!F36="07",예산업로드양식!H36,"")),"")</f>
        <v/>
      </c>
      <c r="Z41" s="10" t="str">
        <f t="shared" si="1"/>
        <v/>
      </c>
      <c r="AA41" s="10"/>
      <c r="AB41" s="165"/>
      <c r="AC41" s="40"/>
      <c r="AD41" s="9"/>
      <c r="AE41" s="9"/>
      <c r="AF41" s="9"/>
      <c r="AG41" s="9" t="str">
        <f>IFERROR(IF(예산업로드양식!E36="","",IF(예산업로드양식!F36="05",예산업로드양식!E36,"")),"")</f>
        <v/>
      </c>
      <c r="AH41" s="10" t="str">
        <f>IFERROR(IF(예산업로드양식!H36="","",IF(예산업로드양식!F36="05",예산업로드양식!H36,"")),"")</f>
        <v/>
      </c>
      <c r="AI41" s="10"/>
      <c r="AJ41" s="10"/>
      <c r="AL41" s="981" t="e">
        <f>IF(#REF!="","",#REF!)</f>
        <v>#REF!</v>
      </c>
      <c r="AM41" s="982" t="e">
        <f>IF(#REF!="","",#REF!)</f>
        <v>#REF!</v>
      </c>
      <c r="AN41" s="983" t="e">
        <f>IF(AND(#REF!="",#REF!=1),"",#REF!)</f>
        <v>#REF!</v>
      </c>
      <c r="AO41" s="984" t="e">
        <f>IF(#REF!="","",#REF!)</f>
        <v>#REF!</v>
      </c>
      <c r="AP41" s="971" t="e">
        <f>IF(#REF!="","",#REF!)</f>
        <v>#REF!</v>
      </c>
      <c r="AQ41" s="985" t="e">
        <f>IF(#REF!="","",#REF!)</f>
        <v>#REF!</v>
      </c>
      <c r="AR41" s="973" t="e">
        <f>IF(#REF!="","",#REF!)</f>
        <v>#REF!</v>
      </c>
      <c r="AS41" s="974" t="e">
        <f>IF(#REF!="","",#REF!)</f>
        <v>#REF!</v>
      </c>
      <c r="AT41" s="975" t="e">
        <f>IF(#REF!="","",#REF!)</f>
        <v>#REF!</v>
      </c>
      <c r="AU41" s="976" t="e">
        <f>IF(#REF!="","",#REF!)</f>
        <v>#REF!</v>
      </c>
      <c r="AV41" s="977" t="e">
        <f>IF(#REF!="","",#REF!)</f>
        <v>#REF!</v>
      </c>
      <c r="AW41" s="986" t="e">
        <f>IF(#REF!="","",#REF!)</f>
        <v>#REF!</v>
      </c>
      <c r="AX41" s="987" t="e">
        <f>IF(#REF!="","",#REF!)</f>
        <v>#REF!</v>
      </c>
    </row>
    <row r="42" spans="1:50">
      <c r="A42" s="689" t="str">
        <f>IF(데이터입력!Y52=0,"X",데이터입력!X52)</f>
        <v>직원상여금</v>
      </c>
      <c r="B42" s="709">
        <f>데이터입력!Y52</f>
        <v>50000</v>
      </c>
      <c r="C42" s="710">
        <f>IF(데이터입력!Z52="","X",데이터입력!Z52)</f>
        <v>29</v>
      </c>
      <c r="D42" s="919">
        <f>IF(B42="X",IF($H$2="추경",데이터입력!$Y$8,12),IF($H$2="추경",데이터입력!AA52,IF(데이터입력!$Y$8=12,데이터입력!AA52,12)))</f>
        <v>1</v>
      </c>
      <c r="E42" s="689" t="str">
        <f>IF(데이터입력!AC52=0,"X",데이터입력!AB52)</f>
        <v>X</v>
      </c>
      <c r="F42" s="690">
        <f>데이터입력!AC52</f>
        <v>0</v>
      </c>
      <c r="G42" s="689" t="str">
        <f>IF(데이터입력!AD52="","X",데이터입력!AD52)</f>
        <v>욕실용품 등</v>
      </c>
      <c r="H42" s="690">
        <f>데이터입력!AE52</f>
        <v>400000</v>
      </c>
      <c r="I42" s="919">
        <f>IF(G42="X",IF($H$2="추경",데이터입력!$Y$8,12),IF($H$2="추경",데이터입력!AF52,IF(데이터입력!$Y$8=12,데이터입력!AF52,12)))</f>
        <v>12</v>
      </c>
      <c r="K42" s="41"/>
      <c r="L42" s="11"/>
      <c r="M42" s="11"/>
      <c r="N42" s="11"/>
      <c r="O42" s="11" t="str">
        <f>IFERROR(IF(예산업로드양식!E37="","",IF(예산업로드양식!F37="06",예산업로드양식!E37,"")),"")</f>
        <v/>
      </c>
      <c r="P42" s="12" t="str">
        <f>IFERROR(IF(예산업로드양식!H37="","",IF(예산업로드양식!F37="06",예산업로드양식!H37,"")),"")</f>
        <v/>
      </c>
      <c r="Q42" s="6" t="str">
        <f t="shared" si="0"/>
        <v/>
      </c>
      <c r="R42" s="12"/>
      <c r="S42" s="165"/>
      <c r="T42" s="41"/>
      <c r="U42" s="11"/>
      <c r="V42" s="11"/>
      <c r="W42" s="11"/>
      <c r="X42" s="11" t="str">
        <f>IFERROR(IF(예산업로드양식!E37="","",IF(예산업로드양식!F37="07",예산업로드양식!E37,"")),"")</f>
        <v/>
      </c>
      <c r="Y42" s="12" t="str">
        <f>IFERROR(IF(예산업로드양식!H37="","",IF(예산업로드양식!F37="07",예산업로드양식!H37,"")),"")</f>
        <v/>
      </c>
      <c r="Z42" s="6" t="str">
        <f t="shared" si="1"/>
        <v/>
      </c>
      <c r="AA42" s="12"/>
      <c r="AB42" s="165"/>
      <c r="AC42" s="41"/>
      <c r="AD42" s="11"/>
      <c r="AE42" s="11"/>
      <c r="AF42" s="11"/>
      <c r="AG42" s="11" t="str">
        <f>IFERROR(IF(예산업로드양식!E37="","",IF(예산업로드양식!F37="05",예산업로드양식!E37,"")),"")</f>
        <v/>
      </c>
      <c r="AH42" s="12" t="str">
        <f>IFERROR(IF(예산업로드양식!H37="","",IF(예산업로드양식!F37="05",예산업로드양식!H37,"")),"")</f>
        <v/>
      </c>
      <c r="AI42" s="12"/>
      <c r="AJ42" s="12"/>
      <c r="AL42" s="981" t="e">
        <f>IF(#REF!="","",#REF!)</f>
        <v>#REF!</v>
      </c>
      <c r="AM42" s="982" t="e">
        <f>IF(#REF!="","",#REF!)</f>
        <v>#REF!</v>
      </c>
      <c r="AN42" s="983" t="e">
        <f>IF(AND(#REF!="",#REF!=1),"",#REF!)</f>
        <v>#REF!</v>
      </c>
      <c r="AO42" s="984" t="e">
        <f>IF(#REF!="","",#REF!)</f>
        <v>#REF!</v>
      </c>
      <c r="AP42" s="971" t="e">
        <f>IF(#REF!="","",#REF!)</f>
        <v>#REF!</v>
      </c>
      <c r="AQ42" s="985" t="e">
        <f>IF(#REF!="","",#REF!)</f>
        <v>#REF!</v>
      </c>
      <c r="AR42" s="973" t="e">
        <f>IF(#REF!="","",#REF!)</f>
        <v>#REF!</v>
      </c>
      <c r="AS42" s="974" t="e">
        <f>IF(#REF!="","",#REF!)</f>
        <v>#REF!</v>
      </c>
      <c r="AT42" s="975" t="e">
        <f>IF(#REF!="","",#REF!)</f>
        <v>#REF!</v>
      </c>
      <c r="AU42" s="976" t="e">
        <f>IF(#REF!="","",#REF!)</f>
        <v>#REF!</v>
      </c>
      <c r="AV42" s="977" t="e">
        <f>IF(#REF!="","",#REF!)</f>
        <v>#REF!</v>
      </c>
      <c r="AW42" s="986" t="e">
        <f>IF(#REF!="","",#REF!)</f>
        <v>#REF!</v>
      </c>
      <c r="AX42" s="987" t="e">
        <f>IF(#REF!="","",#REF!)</f>
        <v>#REF!</v>
      </c>
    </row>
    <row r="43" spans="1:50">
      <c r="A43" s="689" t="str">
        <f>IF(데이터입력!Y53=0,"X",데이터입력!X53)</f>
        <v>명절상여금</v>
      </c>
      <c r="B43" s="709">
        <f>데이터입력!Y53</f>
        <v>50000</v>
      </c>
      <c r="C43" s="710">
        <f>IF(데이터입력!Z53="","X",데이터입력!Z53)</f>
        <v>29</v>
      </c>
      <c r="D43" s="919">
        <f>IF(B43="X",IF($H$2="추경",데이터입력!$Y$8,12),IF($H$2="추경",데이터입력!AA53,IF(데이터입력!$Y$8=12,데이터입력!AA53,12)))</f>
        <v>2</v>
      </c>
      <c r="E43" s="689" t="str">
        <f>IF(데이터입력!AB53="","X",데이터입력!AB53)</f>
        <v>X</v>
      </c>
      <c r="F43" s="690">
        <f>데이터입력!AC53</f>
        <v>0</v>
      </c>
      <c r="G43" s="689" t="str">
        <f>IF(데이터입력!AD53="","X",데이터입력!AD53)</f>
        <v>기타(이불,피복비 등)</v>
      </c>
      <c r="H43" s="690">
        <f>데이터입력!AE53</f>
        <v>400000</v>
      </c>
      <c r="I43" s="919">
        <f>IF(G43="X",IF($H$2="추경",데이터입력!$Y$8,12),IF($H$2="추경",데이터입력!AF53,IF(데이터입력!$Y$8=12,데이터입력!AF53,12)))</f>
        <v>12</v>
      </c>
      <c r="K43" s="40"/>
      <c r="L43" s="9"/>
      <c r="M43" s="9"/>
      <c r="N43" s="9"/>
      <c r="O43" s="9" t="str">
        <f>IFERROR(IF(예산업로드양식!E38="","",IF(예산업로드양식!F38="06",예산업로드양식!E38,"")),"")</f>
        <v/>
      </c>
      <c r="P43" s="10" t="str">
        <f>IFERROR(IF(예산업로드양식!H38="","",IF(예산업로드양식!F38="06",예산업로드양식!H38,"")),"")</f>
        <v/>
      </c>
      <c r="Q43" s="10" t="str">
        <f t="shared" si="0"/>
        <v/>
      </c>
      <c r="R43" s="10"/>
      <c r="S43" s="165"/>
      <c r="T43" s="40"/>
      <c r="U43" s="9"/>
      <c r="V43" s="9"/>
      <c r="W43" s="9"/>
      <c r="X43" s="9" t="str">
        <f>IFERROR(IF(예산업로드양식!E38="","",IF(예산업로드양식!F38="07",예산업로드양식!E38,"")),"")</f>
        <v/>
      </c>
      <c r="Y43" s="10" t="str">
        <f>IFERROR(IF(예산업로드양식!H38="","",IF(예산업로드양식!F38="07",예산업로드양식!H38,"")),"")</f>
        <v/>
      </c>
      <c r="Z43" s="10" t="str">
        <f t="shared" si="1"/>
        <v/>
      </c>
      <c r="AA43" s="10"/>
      <c r="AB43" s="165"/>
      <c r="AC43" s="40"/>
      <c r="AD43" s="9"/>
      <c r="AE43" s="9"/>
      <c r="AF43" s="9"/>
      <c r="AG43" s="9" t="str">
        <f>IFERROR(IF(예산업로드양식!E38="","",IF(예산업로드양식!F38="05",예산업로드양식!E38,"")),"")</f>
        <v/>
      </c>
      <c r="AH43" s="10" t="str">
        <f>IFERROR(IF(예산업로드양식!H38="","",IF(예산업로드양식!F38="05",예산업로드양식!H38,"")),"")</f>
        <v/>
      </c>
      <c r="AI43" s="10"/>
      <c r="AJ43" s="10"/>
      <c r="AL43" s="981" t="e">
        <f>IF(#REF!="","",#REF!)</f>
        <v>#REF!</v>
      </c>
      <c r="AM43" s="982" t="e">
        <f>IF(#REF!="","",#REF!)</f>
        <v>#REF!</v>
      </c>
      <c r="AN43" s="983" t="e">
        <f>IF(AND(#REF!="",#REF!=1),"",#REF!)</f>
        <v>#REF!</v>
      </c>
      <c r="AO43" s="984" t="e">
        <f>IF(#REF!="","",#REF!)</f>
        <v>#REF!</v>
      </c>
      <c r="AP43" s="971" t="e">
        <f>IF(#REF!="","",#REF!)</f>
        <v>#REF!</v>
      </c>
      <c r="AQ43" s="985" t="e">
        <f>IF(#REF!="","",#REF!)</f>
        <v>#REF!</v>
      </c>
      <c r="AR43" s="973" t="e">
        <f>IF(#REF!="","",#REF!)</f>
        <v>#REF!</v>
      </c>
      <c r="AS43" s="974" t="e">
        <f>IF(#REF!="","",#REF!)</f>
        <v>#REF!</v>
      </c>
      <c r="AT43" s="975" t="e">
        <f>IF(#REF!="","",#REF!)</f>
        <v>#REF!</v>
      </c>
      <c r="AU43" s="976" t="e">
        <f>IF(#REF!="","",#REF!)</f>
        <v>#REF!</v>
      </c>
      <c r="AV43" s="977" t="e">
        <f>IF(#REF!="","",#REF!)</f>
        <v>#REF!</v>
      </c>
      <c r="AW43" s="986" t="e">
        <f>IF(#REF!="","",#REF!)</f>
        <v>#REF!</v>
      </c>
      <c r="AX43" s="987" t="e">
        <f>IF(#REF!="","",#REF!)</f>
        <v>#REF!</v>
      </c>
    </row>
    <row r="44" spans="1:50">
      <c r="A44" s="689" t="str">
        <f>IF(데이터입력!Y54=0,"X",데이터입력!X54)</f>
        <v>직원교육비</v>
      </c>
      <c r="B44" s="709">
        <f>데이터입력!Y54</f>
        <v>50000</v>
      </c>
      <c r="C44" s="710" t="str">
        <f>IF(데이터입력!Z54="","X",데이터입력!Z54)</f>
        <v>X</v>
      </c>
      <c r="D44" s="919">
        <f>IF(B44="X",IF($H$2="추경",데이터입력!$Y$8,12),IF($H$2="추경",데이터입력!AA54,IF(데이터입력!$Y$8=12,데이터입력!AA54,12)))</f>
        <v>12</v>
      </c>
      <c r="E44" s="689" t="str">
        <f>IF(데이터입력!AB54="","X",데이터입력!AB54)</f>
        <v>X</v>
      </c>
      <c r="F44" s="690">
        <f>데이터입력!AC54</f>
        <v>0</v>
      </c>
      <c r="G44" s="689" t="str">
        <f>IF(데이터입력!AD54="","X",데이터입력!AD54)</f>
        <v>X</v>
      </c>
      <c r="H44" s="690">
        <f>데이터입력!AE54</f>
        <v>0</v>
      </c>
      <c r="I44" s="919">
        <f>IF(G44="X",IF($H$2="추경",데이터입력!$Y$8,12),IF($H$2="추경",데이터입력!AF54,IF(데이터입력!$Y$8=12,데이터입력!AF54,12)))</f>
        <v>12</v>
      </c>
      <c r="K44" s="41"/>
      <c r="L44" s="11"/>
      <c r="M44" s="11"/>
      <c r="N44" s="11"/>
      <c r="O44" s="11" t="str">
        <f>IFERROR(IF(예산업로드양식!E39="","",IF(예산업로드양식!F39="06",예산업로드양식!E39,"")),"")</f>
        <v/>
      </c>
      <c r="P44" s="12" t="str">
        <f>IFERROR(IF(예산업로드양식!H39="","",IF(예산업로드양식!F39="06",예산업로드양식!H39,"")),"")</f>
        <v/>
      </c>
      <c r="Q44" s="6" t="str">
        <f t="shared" si="0"/>
        <v/>
      </c>
      <c r="R44" s="12"/>
      <c r="S44" s="165"/>
      <c r="T44" s="41"/>
      <c r="U44" s="11"/>
      <c r="V44" s="11"/>
      <c r="W44" s="11"/>
      <c r="X44" s="11" t="str">
        <f>IFERROR(IF(예산업로드양식!E39="","",IF(예산업로드양식!F39="07",예산업로드양식!E39,"")),"")</f>
        <v/>
      </c>
      <c r="Y44" s="12" t="str">
        <f>IFERROR(IF(예산업로드양식!H39="","",IF(예산업로드양식!F39="07",예산업로드양식!H39,"")),"")</f>
        <v/>
      </c>
      <c r="Z44" s="6" t="str">
        <f t="shared" si="1"/>
        <v/>
      </c>
      <c r="AA44" s="12"/>
      <c r="AB44" s="165"/>
      <c r="AC44" s="41"/>
      <c r="AD44" s="11"/>
      <c r="AE44" s="11"/>
      <c r="AF44" s="11"/>
      <c r="AG44" s="11" t="str">
        <f>IFERROR(IF(예산업로드양식!E39="","",IF(예산업로드양식!F39="05",예산업로드양식!E39,"")),"")</f>
        <v/>
      </c>
      <c r="AH44" s="12" t="str">
        <f>IFERROR(IF(예산업로드양식!H39="","",IF(예산업로드양식!F39="05",예산업로드양식!H39,"")),"")</f>
        <v/>
      </c>
      <c r="AI44" s="12"/>
      <c r="AJ44" s="12"/>
      <c r="AL44" s="981" t="e">
        <f>IF(#REF!="","",#REF!)</f>
        <v>#REF!</v>
      </c>
      <c r="AM44" s="982" t="e">
        <f>IF(#REF!="","",#REF!)</f>
        <v>#REF!</v>
      </c>
      <c r="AN44" s="983" t="e">
        <f>IF(AND(#REF!="",#REF!=1),"",#REF!)</f>
        <v>#REF!</v>
      </c>
      <c r="AO44" s="984" t="e">
        <f>IF(#REF!="","",#REF!)</f>
        <v>#REF!</v>
      </c>
      <c r="AP44" s="971" t="e">
        <f>IF(#REF!="","",#REF!)</f>
        <v>#REF!</v>
      </c>
      <c r="AQ44" s="985" t="e">
        <f>IF(#REF!="","",#REF!)</f>
        <v>#REF!</v>
      </c>
      <c r="AR44" s="973" t="e">
        <f>IF(#REF!="","",#REF!)</f>
        <v>#REF!</v>
      </c>
      <c r="AS44" s="974" t="e">
        <f>IF(#REF!="","",#REF!)</f>
        <v>#REF!</v>
      </c>
      <c r="AT44" s="975" t="e">
        <f>IF(#REF!="","",#REF!)</f>
        <v>#REF!</v>
      </c>
      <c r="AU44" s="976" t="e">
        <f>IF(#REF!="","",#REF!)</f>
        <v>#REF!</v>
      </c>
      <c r="AV44" s="977" t="e">
        <f>IF(#REF!="","",#REF!)</f>
        <v>#REF!</v>
      </c>
      <c r="AW44" s="986" t="e">
        <f>IF(#REF!="","",#REF!)</f>
        <v>#REF!</v>
      </c>
      <c r="AX44" s="987" t="e">
        <f>IF(#REF!="","",#REF!)</f>
        <v>#REF!</v>
      </c>
    </row>
    <row r="45" spans="1:50">
      <c r="A45" s="689" t="str">
        <f>IF(데이터입력!Y55=0,"X",데이터입력!X55)</f>
        <v>경조사비</v>
      </c>
      <c r="B45" s="709">
        <f>데이터입력!Y55</f>
        <v>100000</v>
      </c>
      <c r="C45" s="710" t="str">
        <f>IF(데이터입력!Z55="","X",데이터입력!Z55)</f>
        <v>X</v>
      </c>
      <c r="D45" s="919">
        <f>IF(B45="X",IF($H$2="추경",데이터입력!$Y$8,12),IF($H$2="추경",데이터입력!AA55,IF(데이터입력!$Y$8=12,데이터입력!AA55,12)))</f>
        <v>12</v>
      </c>
      <c r="E45" s="689" t="str">
        <f>IF(데이터입력!AB55="","X",데이터입력!AB55)</f>
        <v>X</v>
      </c>
      <c r="F45" s="690">
        <f>데이터입력!AC55</f>
        <v>0</v>
      </c>
      <c r="G45" s="689" t="str">
        <f>IF(데이터입력!AD55="","X",데이터입력!AD55)</f>
        <v>X</v>
      </c>
      <c r="H45" s="690">
        <f>데이터입력!AE55</f>
        <v>0</v>
      </c>
      <c r="I45" s="919">
        <f>IF(G45="X",IF($H$2="추경",데이터입력!$Y$8,12),IF($H$2="추경",데이터입력!AF55,IF(데이터입력!$Y$8=12,데이터입력!AF55,12)))</f>
        <v>12</v>
      </c>
      <c r="K45" s="40"/>
      <c r="L45" s="9"/>
      <c r="M45" s="9"/>
      <c r="N45" s="9"/>
      <c r="O45" s="9" t="str">
        <f>IFERROR(IF(예산업로드양식!E40="","",IF(예산업로드양식!F40="06",예산업로드양식!E40,"")),"")</f>
        <v/>
      </c>
      <c r="P45" s="10" t="str">
        <f>IFERROR(IF(예산업로드양식!H40="","",IF(예산업로드양식!F40="06",예산업로드양식!H40,"")),"")</f>
        <v/>
      </c>
      <c r="Q45" s="10" t="str">
        <f t="shared" si="0"/>
        <v/>
      </c>
      <c r="R45" s="10"/>
      <c r="S45" s="165"/>
      <c r="T45" s="40"/>
      <c r="U45" s="9"/>
      <c r="V45" s="9"/>
      <c r="W45" s="9"/>
      <c r="X45" s="9" t="str">
        <f>IFERROR(IF(예산업로드양식!E40="","",IF(예산업로드양식!F40="07",예산업로드양식!E40,"")),"")</f>
        <v/>
      </c>
      <c r="Y45" s="10" t="str">
        <f>IFERROR(IF(예산업로드양식!H40="","",IF(예산업로드양식!F40="07",예산업로드양식!H40,"")),"")</f>
        <v/>
      </c>
      <c r="Z45" s="10" t="str">
        <f t="shared" si="1"/>
        <v/>
      </c>
      <c r="AA45" s="10"/>
      <c r="AB45" s="165"/>
      <c r="AC45" s="40"/>
      <c r="AD45" s="9"/>
      <c r="AE45" s="9"/>
      <c r="AF45" s="9"/>
      <c r="AG45" s="9" t="str">
        <f>IFERROR(IF(예산업로드양식!E40="","",IF(예산업로드양식!F40="05",예산업로드양식!E40,"")),"")</f>
        <v/>
      </c>
      <c r="AH45" s="10" t="str">
        <f>IFERROR(IF(예산업로드양식!H40="","",IF(예산업로드양식!F40="05",예산업로드양식!H40,"")),"")</f>
        <v/>
      </c>
      <c r="AI45" s="10"/>
      <c r="AJ45" s="10"/>
      <c r="AL45" s="981" t="e">
        <f>IF(#REF!="","",#REF!)</f>
        <v>#REF!</v>
      </c>
      <c r="AM45" s="982" t="e">
        <f>IF(#REF!="","",#REF!)</f>
        <v>#REF!</v>
      </c>
      <c r="AN45" s="983" t="e">
        <f>IF(AND(#REF!="",#REF!=1),"",#REF!)</f>
        <v>#REF!</v>
      </c>
      <c r="AO45" s="984" t="e">
        <f>IF(#REF!="","",#REF!)</f>
        <v>#REF!</v>
      </c>
      <c r="AP45" s="971" t="e">
        <f>IF(#REF!="","",#REF!)</f>
        <v>#REF!</v>
      </c>
      <c r="AQ45" s="985" t="e">
        <f>IF(#REF!="","",#REF!)</f>
        <v>#REF!</v>
      </c>
      <c r="AR45" s="973" t="e">
        <f>IF(#REF!="","",#REF!)</f>
        <v>#REF!</v>
      </c>
      <c r="AS45" s="974" t="e">
        <f>IF(#REF!="","",#REF!)</f>
        <v>#REF!</v>
      </c>
      <c r="AT45" s="975" t="e">
        <f>IF(#REF!="","",#REF!)</f>
        <v>#REF!</v>
      </c>
      <c r="AU45" s="976" t="e">
        <f>IF(#REF!="","",#REF!)</f>
        <v>#REF!</v>
      </c>
      <c r="AV45" s="977" t="e">
        <f>IF(#REF!="","",#REF!)</f>
        <v>#REF!</v>
      </c>
      <c r="AW45" s="986" t="e">
        <f>IF(#REF!="","",#REF!)</f>
        <v>#REF!</v>
      </c>
      <c r="AX45" s="987" t="e">
        <f>IF(#REF!="","",#REF!)</f>
        <v>#REF!</v>
      </c>
    </row>
    <row r="46" spans="1:50">
      <c r="A46" s="689" t="str">
        <f>IF(데이터입력!Y56=0,"X",데이터입력!X56)</f>
        <v>직원식대</v>
      </c>
      <c r="B46" s="709">
        <f>데이터입력!Y56</f>
        <v>50000</v>
      </c>
      <c r="C46" s="710">
        <f>IF(데이터입력!Z56="","X",데이터입력!Z56)</f>
        <v>29</v>
      </c>
      <c r="D46" s="919">
        <f>IF(B46="X",IF($H$2="추경",데이터입력!$Y$8,12),IF($H$2="추경",데이터입력!AA56,IF(데이터입력!$Y$8=12,데이터입력!AA56,12)))</f>
        <v>12</v>
      </c>
      <c r="E46" s="689" t="str">
        <f>IF(데이터입력!AB56="","X",데이터입력!AB56)</f>
        <v>X</v>
      </c>
      <c r="F46" s="690">
        <f>데이터입력!AC56</f>
        <v>0</v>
      </c>
      <c r="G46" s="689" t="str">
        <f>IF(데이터입력!AD56="","X",데이터입력!AD56)</f>
        <v>X</v>
      </c>
      <c r="H46" s="690">
        <f>데이터입력!AE56</f>
        <v>0</v>
      </c>
      <c r="I46" s="919">
        <f>IF(G46="X",IF($H$2="추경",데이터입력!$Y$8,12),IF($H$2="추경",데이터입력!AF56,IF(데이터입력!$Y$8=12,데이터입력!AF56,12)))</f>
        <v>12</v>
      </c>
      <c r="K46" s="41"/>
      <c r="L46" s="11"/>
      <c r="M46" s="11"/>
      <c r="N46" s="11"/>
      <c r="O46" s="11" t="str">
        <f>IFERROR(IF(예산업로드양식!E41="","",IF(예산업로드양식!F41="06",예산업로드양식!E41,"")),"")</f>
        <v/>
      </c>
      <c r="P46" s="12" t="str">
        <f>IFERROR(IF(예산업로드양식!H41="","",IF(예산업로드양식!F41="06",예산업로드양식!H41,"")),"")</f>
        <v/>
      </c>
      <c r="Q46" s="6" t="str">
        <f t="shared" si="0"/>
        <v/>
      </c>
      <c r="R46" s="12"/>
      <c r="S46" s="165"/>
      <c r="T46" s="41"/>
      <c r="U46" s="11"/>
      <c r="V46" s="11"/>
      <c r="W46" s="11"/>
      <c r="X46" s="11" t="str">
        <f>IFERROR(IF(예산업로드양식!E41="","",IF(예산업로드양식!F41="07",예산업로드양식!E41,"")),"")</f>
        <v/>
      </c>
      <c r="Y46" s="12" t="str">
        <f>IFERROR(IF(예산업로드양식!H41="","",IF(예산업로드양식!F41="07",예산업로드양식!H41,"")),"")</f>
        <v/>
      </c>
      <c r="Z46" s="6" t="str">
        <f t="shared" si="1"/>
        <v/>
      </c>
      <c r="AA46" s="12"/>
      <c r="AB46" s="165"/>
      <c r="AC46" s="41"/>
      <c r="AD46" s="11"/>
      <c r="AE46" s="11"/>
      <c r="AF46" s="11"/>
      <c r="AG46" s="11" t="str">
        <f>IFERROR(IF(예산업로드양식!E41="","",IF(예산업로드양식!F41="05",예산업로드양식!E41,"")),"")</f>
        <v/>
      </c>
      <c r="AH46" s="12" t="str">
        <f>IFERROR(IF(예산업로드양식!H41="","",IF(예산업로드양식!F41="05",예산업로드양식!H41,"")),"")</f>
        <v/>
      </c>
      <c r="AI46" s="12"/>
      <c r="AJ46" s="12"/>
      <c r="AL46" s="981" t="e">
        <f>IF(#REF!="","",#REF!)</f>
        <v>#REF!</v>
      </c>
      <c r="AM46" s="982" t="e">
        <f>IF(#REF!="","",#REF!)</f>
        <v>#REF!</v>
      </c>
      <c r="AN46" s="983" t="e">
        <f>IF(AND(#REF!="",#REF!=1),"",#REF!)</f>
        <v>#REF!</v>
      </c>
      <c r="AO46" s="984" t="e">
        <f>IF(#REF!="","",#REF!)</f>
        <v>#REF!</v>
      </c>
      <c r="AP46" s="971" t="e">
        <f>IF(#REF!="","",#REF!)</f>
        <v>#REF!</v>
      </c>
      <c r="AQ46" s="985" t="e">
        <f>IF(#REF!="","",#REF!)</f>
        <v>#REF!</v>
      </c>
      <c r="AR46" s="973" t="e">
        <f>IF(#REF!="","",#REF!)</f>
        <v>#REF!</v>
      </c>
      <c r="AS46" s="974" t="e">
        <f>IF(#REF!="","",#REF!)</f>
        <v>#REF!</v>
      </c>
      <c r="AT46" s="975" t="e">
        <f>IF(#REF!="","",#REF!)</f>
        <v>#REF!</v>
      </c>
      <c r="AU46" s="976" t="e">
        <f>IF(#REF!="","",#REF!)</f>
        <v>#REF!</v>
      </c>
      <c r="AV46" s="977" t="e">
        <f>IF(#REF!="","",#REF!)</f>
        <v>#REF!</v>
      </c>
      <c r="AW46" s="986" t="e">
        <f>IF(#REF!="","",#REF!)</f>
        <v>#REF!</v>
      </c>
      <c r="AX46" s="987" t="e">
        <f>IF(#REF!="","",#REF!)</f>
        <v>#REF!</v>
      </c>
    </row>
    <row r="47" spans="1:50">
      <c r="A47" s="689" t="str">
        <f>IF(데이터입력!Y57=0,"X",데이터입력!X57)</f>
        <v>X</v>
      </c>
      <c r="B47" s="709">
        <f>데이터입력!Y57</f>
        <v>0</v>
      </c>
      <c r="C47" s="710" t="str">
        <f>IF(데이터입력!Z57="","X",데이터입력!Z57)</f>
        <v>X</v>
      </c>
      <c r="D47" s="919">
        <f>IF(B47="X",IF($H$2="추경",데이터입력!$Y$8,12),IF($H$2="추경",데이터입력!AA57,IF(데이터입력!$Y$8=12,데이터입력!AA57,12)))</f>
        <v>12</v>
      </c>
      <c r="E47" s="689" t="str">
        <f>IF(데이터입력!AB57="","X",데이터입력!AB57)</f>
        <v>X</v>
      </c>
      <c r="F47" s="690">
        <f>데이터입력!AC57</f>
        <v>0</v>
      </c>
      <c r="G47" s="689" t="str">
        <f>IF(데이터입력!AD57="","X",데이터입력!AD57)</f>
        <v>X</v>
      </c>
      <c r="H47" s="690">
        <f>데이터입력!AE57</f>
        <v>0</v>
      </c>
      <c r="I47" s="919">
        <f>IF(G47="X",IF($H$2="추경",데이터입력!$Y$8,12),IF($H$2="추경",데이터입력!AF57,IF(데이터입력!$Y$8=12,데이터입력!AF57,12)))</f>
        <v>12</v>
      </c>
      <c r="K47" s="40"/>
      <c r="L47" s="9"/>
      <c r="M47" s="9"/>
      <c r="N47" s="9"/>
      <c r="O47" s="9" t="str">
        <f>IFERROR(IF(예산업로드양식!E42="","",IF(예산업로드양식!F42="06",예산업로드양식!E42,"")),"")</f>
        <v/>
      </c>
      <c r="P47" s="10" t="str">
        <f>IFERROR(IF(예산업로드양식!H42="","",IF(예산업로드양식!F42="06",예산업로드양식!H42,"")),"")</f>
        <v/>
      </c>
      <c r="Q47" s="10" t="str">
        <f t="shared" si="0"/>
        <v/>
      </c>
      <c r="R47" s="10"/>
      <c r="S47" s="165"/>
      <c r="T47" s="40"/>
      <c r="U47" s="9"/>
      <c r="V47" s="9"/>
      <c r="W47" s="9"/>
      <c r="X47" s="9" t="str">
        <f>IFERROR(IF(예산업로드양식!E42="","",IF(예산업로드양식!F42="07",예산업로드양식!E42,"")),"")</f>
        <v/>
      </c>
      <c r="Y47" s="10" t="str">
        <f>IFERROR(IF(예산업로드양식!H42="","",IF(예산업로드양식!F42="07",예산업로드양식!H42,"")),"")</f>
        <v/>
      </c>
      <c r="Z47" s="10" t="str">
        <f t="shared" si="1"/>
        <v/>
      </c>
      <c r="AA47" s="10"/>
      <c r="AB47" s="165"/>
      <c r="AC47" s="40"/>
      <c r="AD47" s="9"/>
      <c r="AE47" s="9"/>
      <c r="AF47" s="9"/>
      <c r="AG47" s="9" t="str">
        <f>IFERROR(IF(예산업로드양식!E42="","",IF(예산업로드양식!F42="05",예산업로드양식!E42,"")),"")</f>
        <v/>
      </c>
      <c r="AH47" s="10" t="str">
        <f>IFERROR(IF(예산업로드양식!H42="","",IF(예산업로드양식!F42="05",예산업로드양식!H42,"")),"")</f>
        <v/>
      </c>
      <c r="AI47" s="10"/>
      <c r="AJ47" s="10"/>
      <c r="AL47" s="981" t="e">
        <f>IF(#REF!="","",#REF!)</f>
        <v>#REF!</v>
      </c>
      <c r="AM47" s="982" t="e">
        <f>IF(#REF!="","",#REF!)</f>
        <v>#REF!</v>
      </c>
      <c r="AN47" s="983" t="e">
        <f>IF(AND(#REF!="",#REF!=1),"",#REF!)</f>
        <v>#REF!</v>
      </c>
      <c r="AO47" s="984" t="e">
        <f>IF(#REF!="","",#REF!)</f>
        <v>#REF!</v>
      </c>
      <c r="AP47" s="971" t="e">
        <f>IF(#REF!="","",#REF!)</f>
        <v>#REF!</v>
      </c>
      <c r="AQ47" s="985" t="e">
        <f>IF(#REF!="","",#REF!)</f>
        <v>#REF!</v>
      </c>
      <c r="AR47" s="973" t="e">
        <f>IF(#REF!="","",#REF!)</f>
        <v>#REF!</v>
      </c>
      <c r="AS47" s="974" t="e">
        <f>IF(#REF!="","",#REF!)</f>
        <v>#REF!</v>
      </c>
      <c r="AT47" s="975" t="e">
        <f>IF(#REF!="","",#REF!)</f>
        <v>#REF!</v>
      </c>
      <c r="AU47" s="976" t="e">
        <f>IF(#REF!="","",#REF!)</f>
        <v>#REF!</v>
      </c>
      <c r="AV47" s="977" t="e">
        <f>IF(#REF!="","",#REF!)</f>
        <v>#REF!</v>
      </c>
      <c r="AW47" s="986" t="e">
        <f>IF(#REF!="","",#REF!)</f>
        <v>#REF!</v>
      </c>
      <c r="AX47" s="987" t="e">
        <f>IF(#REF!="","",#REF!)</f>
        <v>#REF!</v>
      </c>
    </row>
    <row r="48" spans="1:50">
      <c r="A48" s="689" t="str">
        <f>IF(데이터입력!Y58=0,"X",데이터입력!X58)</f>
        <v>X</v>
      </c>
      <c r="B48" s="709">
        <f>데이터입력!Y58</f>
        <v>0</v>
      </c>
      <c r="C48" s="710" t="str">
        <f>IF(데이터입력!Z58="","X",데이터입력!Z58)</f>
        <v>X</v>
      </c>
      <c r="D48" s="919">
        <f>IF(B48="X",IF($H$2="추경",데이터입력!$Y$8,12),IF($H$2="추경",데이터입력!AA58,IF(데이터입력!$Y$8=12,데이터입력!AA58,12)))</f>
        <v>12</v>
      </c>
      <c r="E48" s="689" t="str">
        <f>IF(데이터입력!AB58="","X",데이터입력!AB58)</f>
        <v>X</v>
      </c>
      <c r="F48" s="690">
        <f>데이터입력!AC58</f>
        <v>0</v>
      </c>
      <c r="G48" s="689" t="str">
        <f>IF(데이터입력!AD58="","X",데이터입력!AD58)</f>
        <v>X</v>
      </c>
      <c r="H48" s="690">
        <f>데이터입력!AE58</f>
        <v>0</v>
      </c>
      <c r="I48" s="919">
        <f>IF(G48="X",IF($H$2="추경",데이터입력!$Y$8,12),IF($H$2="추경",데이터입력!AF58,IF(데이터입력!$Y$8=12,데이터입력!AF58,12)))</f>
        <v>12</v>
      </c>
      <c r="K48" s="41"/>
      <c r="L48" s="11"/>
      <c r="M48" s="11"/>
      <c r="N48" s="11"/>
      <c r="O48" s="11" t="str">
        <f>IFERROR(IF(예산업로드양식!E43="","",IF(예산업로드양식!F43="06",예산업로드양식!E43,"")),"")</f>
        <v/>
      </c>
      <c r="P48" s="12" t="str">
        <f>IFERROR(IF(예산업로드양식!H43="","",IF(예산업로드양식!F43="06",예산업로드양식!H43,"")),"")</f>
        <v/>
      </c>
      <c r="Q48" s="6" t="str">
        <f t="shared" si="0"/>
        <v/>
      </c>
      <c r="R48" s="12"/>
      <c r="S48" s="165"/>
      <c r="T48" s="41"/>
      <c r="U48" s="11"/>
      <c r="V48" s="11"/>
      <c r="W48" s="11"/>
      <c r="X48" s="11" t="str">
        <f>IFERROR(IF(예산업로드양식!E43="","",IF(예산업로드양식!F43="07",예산업로드양식!E43,"")),"")</f>
        <v/>
      </c>
      <c r="Y48" s="12" t="str">
        <f>IFERROR(IF(예산업로드양식!H43="","",IF(예산업로드양식!F43="07",예산업로드양식!H43,"")),"")</f>
        <v/>
      </c>
      <c r="Z48" s="6" t="str">
        <f t="shared" si="1"/>
        <v/>
      </c>
      <c r="AA48" s="12"/>
      <c r="AB48" s="165"/>
      <c r="AC48" s="41"/>
      <c r="AD48" s="11"/>
      <c r="AE48" s="11"/>
      <c r="AF48" s="11"/>
      <c r="AG48" s="11" t="str">
        <f>IFERROR(IF(예산업로드양식!E43="","",IF(예산업로드양식!F43="05",예산업로드양식!E43,"")),"")</f>
        <v/>
      </c>
      <c r="AH48" s="12" t="str">
        <f>IFERROR(IF(예산업로드양식!H43="","",IF(예산업로드양식!F43="05",예산업로드양식!H43,"")),"")</f>
        <v/>
      </c>
      <c r="AI48" s="12"/>
      <c r="AJ48" s="12"/>
      <c r="AL48" s="981" t="e">
        <f>IF(#REF!="","",#REF!)</f>
        <v>#REF!</v>
      </c>
      <c r="AM48" s="982" t="e">
        <f>IF(#REF!="","",#REF!)</f>
        <v>#REF!</v>
      </c>
      <c r="AN48" s="983" t="e">
        <f>IF(AND(#REF!="",#REF!=1),"",#REF!)</f>
        <v>#REF!</v>
      </c>
      <c r="AO48" s="984" t="e">
        <f>IF(#REF!="","",#REF!)</f>
        <v>#REF!</v>
      </c>
      <c r="AP48" s="971" t="e">
        <f>IF(#REF!="","",#REF!)</f>
        <v>#REF!</v>
      </c>
      <c r="AQ48" s="985" t="e">
        <f>IF(#REF!="","",#REF!)</f>
        <v>#REF!</v>
      </c>
      <c r="AR48" s="973" t="e">
        <f>IF(#REF!="","",#REF!)</f>
        <v>#REF!</v>
      </c>
      <c r="AS48" s="974" t="e">
        <f>IF(#REF!="","",#REF!)</f>
        <v>#REF!</v>
      </c>
      <c r="AT48" s="975" t="e">
        <f>IF(#REF!="","",#REF!)</f>
        <v>#REF!</v>
      </c>
      <c r="AU48" s="976" t="e">
        <f>IF(#REF!="","",#REF!)</f>
        <v>#REF!</v>
      </c>
      <c r="AV48" s="977" t="e">
        <f>IF(#REF!="","",#REF!)</f>
        <v>#REF!</v>
      </c>
      <c r="AW48" s="986" t="e">
        <f>IF(#REF!="","",#REF!)</f>
        <v>#REF!</v>
      </c>
      <c r="AX48" s="987" t="e">
        <f>IF(#REF!="","",#REF!)</f>
        <v>#REF!</v>
      </c>
    </row>
    <row r="49" spans="1:50">
      <c r="A49" s="689" t="str">
        <f>IF(데이터입력!Y59=0,"X",데이터입력!X59)</f>
        <v>X</v>
      </c>
      <c r="B49" s="709">
        <f>데이터입력!Y59</f>
        <v>0</v>
      </c>
      <c r="C49" s="710" t="str">
        <f>IF(데이터입력!Z59="","X",데이터입력!Z59)</f>
        <v>X</v>
      </c>
      <c r="D49" s="919">
        <f>IF(B49="X",IF($H$2="추경",데이터입력!$Y$8,12),IF($H$2="추경",데이터입력!AA59,IF(데이터입력!$Y$8=12,데이터입력!AA59,12)))</f>
        <v>12</v>
      </c>
      <c r="E49" s="689" t="str">
        <f>IF(데이터입력!AB59="","X",데이터입력!AB59)</f>
        <v>X</v>
      </c>
      <c r="F49" s="690">
        <f>데이터입력!AC59</f>
        <v>0</v>
      </c>
      <c r="G49" s="689" t="str">
        <f>IF(데이터입력!AD59="","X",데이터입력!AD59)</f>
        <v>X</v>
      </c>
      <c r="H49" s="690">
        <f>데이터입력!AE59</f>
        <v>0</v>
      </c>
      <c r="I49" s="919">
        <f>IF(G49="X",IF($H$2="추경",데이터입력!$Y$8,12),IF($H$2="추경",데이터입력!AF59,IF(데이터입력!$Y$8=12,데이터입력!AF59,12)))</f>
        <v>12</v>
      </c>
      <c r="K49" s="40"/>
      <c r="L49" s="9"/>
      <c r="M49" s="9"/>
      <c r="N49" s="9"/>
      <c r="O49" s="9" t="str">
        <f>IFERROR(IF(예산업로드양식!E44="","",IF(예산업로드양식!F44="06",예산업로드양식!E44,"")),"")</f>
        <v/>
      </c>
      <c r="P49" s="10" t="str">
        <f>IFERROR(IF(예산업로드양식!H44="","",IF(예산업로드양식!F44="06",예산업로드양식!H44,"")),"")</f>
        <v/>
      </c>
      <c r="Q49" s="10" t="str">
        <f t="shared" si="0"/>
        <v/>
      </c>
      <c r="R49" s="10"/>
      <c r="S49" s="165"/>
      <c r="T49" s="40"/>
      <c r="U49" s="9"/>
      <c r="V49" s="9"/>
      <c r="W49" s="9"/>
      <c r="X49" s="9" t="str">
        <f>IFERROR(IF(예산업로드양식!E44="","",IF(예산업로드양식!F44="07",예산업로드양식!E44,"")),"")</f>
        <v/>
      </c>
      <c r="Y49" s="10" t="str">
        <f>IFERROR(IF(예산업로드양식!H44="","",IF(예산업로드양식!F44="07",예산업로드양식!H44,"")),"")</f>
        <v/>
      </c>
      <c r="Z49" s="10" t="str">
        <f t="shared" si="1"/>
        <v/>
      </c>
      <c r="AA49" s="10"/>
      <c r="AB49" s="165"/>
      <c r="AC49" s="40"/>
      <c r="AD49" s="9"/>
      <c r="AE49" s="9"/>
      <c r="AF49" s="9"/>
      <c r="AG49" s="9" t="str">
        <f>IFERROR(IF(예산업로드양식!E44="","",IF(예산업로드양식!F44="05",예산업로드양식!E44,"")),"")</f>
        <v/>
      </c>
      <c r="AH49" s="10" t="str">
        <f>IFERROR(IF(예산업로드양식!H44="","",IF(예산업로드양식!F44="05",예산업로드양식!H44,"")),"")</f>
        <v/>
      </c>
      <c r="AI49" s="10"/>
      <c r="AJ49" s="10"/>
      <c r="AL49" s="981" t="e">
        <f>IF(#REF!="","",#REF!)</f>
        <v>#REF!</v>
      </c>
      <c r="AM49" s="982" t="e">
        <f>IF(#REF!="","",#REF!)</f>
        <v>#REF!</v>
      </c>
      <c r="AN49" s="983" t="e">
        <f>IF(AND(#REF!="",#REF!=1),"",#REF!)</f>
        <v>#REF!</v>
      </c>
      <c r="AO49" s="984" t="e">
        <f>IF(#REF!="","",#REF!)</f>
        <v>#REF!</v>
      </c>
      <c r="AP49" s="971" t="e">
        <f>IF(#REF!="","",#REF!)</f>
        <v>#REF!</v>
      </c>
      <c r="AQ49" s="985" t="e">
        <f>IF(#REF!="","",#REF!)</f>
        <v>#REF!</v>
      </c>
      <c r="AR49" s="973" t="e">
        <f>IF(#REF!="","",#REF!)</f>
        <v>#REF!</v>
      </c>
      <c r="AS49" s="974" t="e">
        <f>IF(#REF!="","",#REF!)</f>
        <v>#REF!</v>
      </c>
      <c r="AT49" s="975" t="e">
        <f>IF(#REF!="","",#REF!)</f>
        <v>#REF!</v>
      </c>
      <c r="AU49" s="976" t="e">
        <f>IF(#REF!="","",#REF!)</f>
        <v>#REF!</v>
      </c>
      <c r="AV49" s="977" t="e">
        <f>IF(#REF!="","",#REF!)</f>
        <v>#REF!</v>
      </c>
      <c r="AW49" s="986" t="e">
        <f>IF(#REF!="","",#REF!)</f>
        <v>#REF!</v>
      </c>
      <c r="AX49" s="987" t="e">
        <f>IF(#REF!="","",#REF!)</f>
        <v>#REF!</v>
      </c>
    </row>
    <row r="50" spans="1:50" ht="17.25" thickBot="1">
      <c r="A50" s="689" t="str">
        <f>IF(데이터입력!X60="","X",데이터입력!X60)</f>
        <v>X</v>
      </c>
      <c r="B50" s="709">
        <f>데이터입력!Y60</f>
        <v>0</v>
      </c>
      <c r="C50" s="710" t="str">
        <f>IF(데이터입력!Z60="","X",데이터입력!Z60)</f>
        <v>X</v>
      </c>
      <c r="D50" s="919">
        <f>IF(B50="X",IF($H$2="추경",데이터입력!$Y$8,12),IF($H$2="추경",데이터입력!AA60,IF(데이터입력!$Y$8=12,데이터입력!AA60,12)))</f>
        <v>12</v>
      </c>
      <c r="E50" s="689" t="str">
        <f>IF(데이터입력!AB60="","X",데이터입력!AB60)</f>
        <v>X</v>
      </c>
      <c r="F50" s="690">
        <f>데이터입력!AC60</f>
        <v>0</v>
      </c>
      <c r="G50" s="689" t="str">
        <f>IF(데이터입력!AD60="","X",데이터입력!AD60)</f>
        <v>X</v>
      </c>
      <c r="H50" s="690">
        <f>데이터입력!AE60</f>
        <v>0</v>
      </c>
      <c r="I50" s="919">
        <f>IF(G50="X",IF($H$2="추경",데이터입력!$Y$8,12),IF($H$2="추경",데이터입력!AF60,IF(데이터입력!$Y$8=12,데이터입력!AF60,12)))</f>
        <v>12</v>
      </c>
      <c r="K50" s="41"/>
      <c r="L50" s="11"/>
      <c r="M50" s="11"/>
      <c r="N50" s="11"/>
      <c r="O50" s="11" t="str">
        <f>IFERROR(IF(예산업로드양식!E45="","",IF(예산업로드양식!F45="06",예산업로드양식!E45,"")),"")</f>
        <v/>
      </c>
      <c r="P50" s="12" t="str">
        <f>IFERROR(IF(예산업로드양식!H45="","",IF(예산업로드양식!F45="06",예산업로드양식!H45,"")),"")</f>
        <v/>
      </c>
      <c r="Q50" s="6" t="str">
        <f t="shared" si="0"/>
        <v/>
      </c>
      <c r="R50" s="12"/>
      <c r="S50" s="165"/>
      <c r="T50" s="41"/>
      <c r="U50" s="11"/>
      <c r="V50" s="11"/>
      <c r="W50" s="11"/>
      <c r="X50" s="11" t="str">
        <f>IFERROR(IF(예산업로드양식!E45="","",IF(예산업로드양식!F45="07",예산업로드양식!E45,"")),"")</f>
        <v/>
      </c>
      <c r="Y50" s="12" t="str">
        <f>IFERROR(IF(예산업로드양식!H45="","",IF(예산업로드양식!F45="07",예산업로드양식!H45,"")),"")</f>
        <v/>
      </c>
      <c r="Z50" s="6" t="str">
        <f t="shared" si="1"/>
        <v/>
      </c>
      <c r="AA50" s="12"/>
      <c r="AB50" s="165"/>
      <c r="AC50" s="41"/>
      <c r="AD50" s="11"/>
      <c r="AE50" s="11"/>
      <c r="AF50" s="11"/>
      <c r="AG50" s="11" t="str">
        <f>IFERROR(IF(예산업로드양식!E45="","",IF(예산업로드양식!F45="05",예산업로드양식!E45,"")),"")</f>
        <v/>
      </c>
      <c r="AH50" s="12" t="str">
        <f>IFERROR(IF(예산업로드양식!H45="","",IF(예산업로드양식!F45="05",예산업로드양식!H45,"")),"")</f>
        <v/>
      </c>
      <c r="AI50" s="12"/>
      <c r="AJ50" s="12"/>
      <c r="AL50" s="981" t="e">
        <f>IF(#REF!="","",#REF!)</f>
        <v>#REF!</v>
      </c>
      <c r="AM50" s="982" t="e">
        <f>IF(#REF!="","",#REF!)</f>
        <v>#REF!</v>
      </c>
      <c r="AN50" s="983" t="e">
        <f>IF(AND(#REF!="",#REF!=1),"",#REF!)</f>
        <v>#REF!</v>
      </c>
      <c r="AO50" s="984" t="e">
        <f>IF(#REF!="","",#REF!)</f>
        <v>#REF!</v>
      </c>
      <c r="AP50" s="971" t="e">
        <f>IF(#REF!="","",#REF!)</f>
        <v>#REF!</v>
      </c>
      <c r="AQ50" s="985" t="e">
        <f>IF(#REF!="","",#REF!)</f>
        <v>#REF!</v>
      </c>
      <c r="AR50" s="973" t="e">
        <f>IF(#REF!="","",#REF!)</f>
        <v>#REF!</v>
      </c>
      <c r="AS50" s="974" t="e">
        <f>IF(#REF!="","",#REF!)</f>
        <v>#REF!</v>
      </c>
      <c r="AT50" s="975" t="e">
        <f>IF(#REF!="","",#REF!)</f>
        <v>#REF!</v>
      </c>
      <c r="AU50" s="976" t="e">
        <f>IF(#REF!="","",#REF!)</f>
        <v>#REF!</v>
      </c>
      <c r="AV50" s="977" t="e">
        <f>IF(#REF!="","",#REF!)</f>
        <v>#REF!</v>
      </c>
      <c r="AW50" s="986" t="e">
        <f>IF(#REF!="","",#REF!)</f>
        <v>#REF!</v>
      </c>
      <c r="AX50" s="987" t="e">
        <f>IF(#REF!="","",#REF!)</f>
        <v>#REF!</v>
      </c>
    </row>
    <row r="51" spans="1:50" ht="17.25" thickBot="1">
      <c r="A51" s="697" t="s">
        <v>242</v>
      </c>
      <c r="B51" s="706"/>
      <c r="C51" s="701" t="s">
        <v>184</v>
      </c>
      <c r="D51" s="701" t="s">
        <v>214</v>
      </c>
      <c r="E51" s="694" t="s">
        <v>187</v>
      </c>
      <c r="F51" s="693"/>
      <c r="G51" s="694" t="s">
        <v>172</v>
      </c>
      <c r="H51" s="693"/>
      <c r="I51" s="701" t="s">
        <v>214</v>
      </c>
      <c r="K51" s="40"/>
      <c r="L51" s="9"/>
      <c r="M51" s="9"/>
      <c r="N51" s="9"/>
      <c r="O51" s="9" t="str">
        <f>IFERROR(IF(예산업로드양식!E46="","",IF(예산업로드양식!F46="06",예산업로드양식!E46,"")),"")</f>
        <v/>
      </c>
      <c r="P51" s="10" t="str">
        <f>IFERROR(IF(예산업로드양식!H46="","",IF(예산업로드양식!F46="06",예산업로드양식!H46,"")),"")</f>
        <v/>
      </c>
      <c r="Q51" s="10" t="str">
        <f t="shared" si="0"/>
        <v/>
      </c>
      <c r="R51" s="10"/>
      <c r="S51" s="165"/>
      <c r="T51" s="40"/>
      <c r="U51" s="9"/>
      <c r="V51" s="9"/>
      <c r="W51" s="9"/>
      <c r="X51" s="9" t="str">
        <f>IFERROR(IF(예산업로드양식!E46="","",IF(예산업로드양식!F46="07",예산업로드양식!E46,"")),"")</f>
        <v/>
      </c>
      <c r="Y51" s="10" t="str">
        <f>IFERROR(IF(예산업로드양식!H46="","",IF(예산업로드양식!F46="07",예산업로드양식!H46,"")),"")</f>
        <v/>
      </c>
      <c r="Z51" s="10" t="str">
        <f t="shared" si="1"/>
        <v/>
      </c>
      <c r="AA51" s="10"/>
      <c r="AB51" s="165"/>
      <c r="AC51" s="40"/>
      <c r="AD51" s="9"/>
      <c r="AE51" s="9"/>
      <c r="AF51" s="9"/>
      <c r="AG51" s="9" t="str">
        <f>IFERROR(IF(예산업로드양식!E46="","",IF(예산업로드양식!F46="05",예산업로드양식!E46,"")),"")</f>
        <v/>
      </c>
      <c r="AH51" s="10" t="str">
        <f>IFERROR(IF(예산업로드양식!H46="","",IF(예산업로드양식!F46="05",예산업로드양식!H46,"")),"")</f>
        <v/>
      </c>
      <c r="AI51" s="10"/>
      <c r="AJ51" s="10"/>
      <c r="AL51" s="981" t="e">
        <f>IF(#REF!="","",#REF!)</f>
        <v>#REF!</v>
      </c>
      <c r="AM51" s="982" t="e">
        <f>IF(#REF!="","",#REF!)</f>
        <v>#REF!</v>
      </c>
      <c r="AN51" s="983" t="e">
        <f>IF(AND(#REF!="",#REF!=1),"",#REF!)</f>
        <v>#REF!</v>
      </c>
      <c r="AO51" s="984" t="e">
        <f>IF(#REF!="","",#REF!)</f>
        <v>#REF!</v>
      </c>
      <c r="AP51" s="971" t="e">
        <f>IF(#REF!="","",#REF!)</f>
        <v>#REF!</v>
      </c>
      <c r="AQ51" s="985" t="e">
        <f>IF(#REF!="","",#REF!)</f>
        <v>#REF!</v>
      </c>
      <c r="AR51" s="973" t="e">
        <f>IF(#REF!="","",#REF!)</f>
        <v>#REF!</v>
      </c>
      <c r="AS51" s="974" t="e">
        <f>IF(#REF!="","",#REF!)</f>
        <v>#REF!</v>
      </c>
      <c r="AT51" s="975" t="e">
        <f>IF(#REF!="","",#REF!)</f>
        <v>#REF!</v>
      </c>
      <c r="AU51" s="976" t="e">
        <f>IF(#REF!="","",#REF!)</f>
        <v>#REF!</v>
      </c>
      <c r="AV51" s="977" t="e">
        <f>IF(#REF!="","",#REF!)</f>
        <v>#REF!</v>
      </c>
      <c r="AW51" s="986" t="e">
        <f>IF(#REF!="","",#REF!)</f>
        <v>#REF!</v>
      </c>
      <c r="AX51" s="987" t="e">
        <f>IF(#REF!="","",#REF!)</f>
        <v>#REF!</v>
      </c>
    </row>
    <row r="52" spans="1:50">
      <c r="A52" s="918" t="str">
        <f>IF(데이터입력!X62="","X",데이터입력!X62)</f>
        <v>재료비 등</v>
      </c>
      <c r="B52" s="704"/>
      <c r="C52" s="710" t="str">
        <f>IF(데이터입력!Z62="","X",데이터입력!Z62)</f>
        <v>X</v>
      </c>
      <c r="D52" s="919">
        <f>IF(B52="X",IF($H$2="추경",데이터입력!$Y$8,12),IF($H$2="추경",데이터입력!AA62,IF(데이터입력!$Y$8=12,데이터입력!AA62,12)))</f>
        <v>12</v>
      </c>
      <c r="E52" s="918" t="str">
        <f>IF(데이터입력!AB62="","X",데이터입력!AB62)</f>
        <v>상비약구입 등</v>
      </c>
      <c r="F52" s="704"/>
      <c r="G52" s="918" t="str">
        <f>IF(데이터입력!AD62="","X",데이터입력!AD62)</f>
        <v>잡지출</v>
      </c>
      <c r="H52" s="704"/>
      <c r="I52" s="711"/>
      <c r="K52" s="41"/>
      <c r="L52" s="11"/>
      <c r="M52" s="11"/>
      <c r="N52" s="11"/>
      <c r="O52" s="11" t="str">
        <f>IFERROR(IF(예산업로드양식!E47="","",IF(예산업로드양식!F47="06",예산업로드양식!E47,"")),"")</f>
        <v/>
      </c>
      <c r="P52" s="12" t="str">
        <f>IFERROR(IF(예산업로드양식!H47="","",IF(예산업로드양식!F47="06",예산업로드양식!H47,"")),"")</f>
        <v/>
      </c>
      <c r="Q52" s="6" t="str">
        <f t="shared" si="0"/>
        <v/>
      </c>
      <c r="R52" s="12"/>
      <c r="S52" s="165"/>
      <c r="T52" s="41"/>
      <c r="U52" s="11"/>
      <c r="V52" s="11"/>
      <c r="W52" s="11"/>
      <c r="X52" s="11" t="str">
        <f>IFERROR(IF(예산업로드양식!E47="","",IF(예산업로드양식!F47="07",예산업로드양식!E47,"")),"")</f>
        <v/>
      </c>
      <c r="Y52" s="12" t="str">
        <f>IFERROR(IF(예산업로드양식!H47="","",IF(예산업로드양식!F47="07",예산업로드양식!H47,"")),"")</f>
        <v/>
      </c>
      <c r="Z52" s="6" t="str">
        <f t="shared" si="1"/>
        <v/>
      </c>
      <c r="AA52" s="12"/>
      <c r="AB52" s="165"/>
      <c r="AC52" s="41"/>
      <c r="AD52" s="11"/>
      <c r="AE52" s="11"/>
      <c r="AF52" s="11"/>
      <c r="AG52" s="11" t="str">
        <f>IFERROR(IF(예산업로드양식!E47="","",IF(예산업로드양식!F47="05",예산업로드양식!E47,"")),"")</f>
        <v/>
      </c>
      <c r="AH52" s="12" t="str">
        <f>IFERROR(IF(예산업로드양식!H47="","",IF(예산업로드양식!F47="05",예산업로드양식!H47,"")),"")</f>
        <v/>
      </c>
      <c r="AI52" s="12"/>
      <c r="AJ52" s="12"/>
      <c r="AL52" s="981" t="e">
        <f>IF(#REF!="","",#REF!)</f>
        <v>#REF!</v>
      </c>
      <c r="AM52" s="982" t="e">
        <f>IF(#REF!="","",#REF!)</f>
        <v>#REF!</v>
      </c>
      <c r="AN52" s="983" t="e">
        <f>IF(AND(#REF!="",#REF!=1),"",#REF!)</f>
        <v>#REF!</v>
      </c>
      <c r="AO52" s="984" t="e">
        <f>IF(#REF!="","",#REF!)</f>
        <v>#REF!</v>
      </c>
      <c r="AP52" s="971" t="e">
        <f>IF(#REF!="","",#REF!)</f>
        <v>#REF!</v>
      </c>
      <c r="AQ52" s="985" t="e">
        <f>IF(#REF!="","",#REF!)</f>
        <v>#REF!</v>
      </c>
      <c r="AR52" s="973" t="e">
        <f>IF(#REF!="","",#REF!)</f>
        <v>#REF!</v>
      </c>
      <c r="AS52" s="974" t="e">
        <f>IF(#REF!="","",#REF!)</f>
        <v>#REF!</v>
      </c>
      <c r="AT52" s="975" t="e">
        <f>IF(#REF!="","",#REF!)</f>
        <v>#REF!</v>
      </c>
      <c r="AU52" s="976" t="e">
        <f>IF(#REF!="","",#REF!)</f>
        <v>#REF!</v>
      </c>
      <c r="AV52" s="977" t="e">
        <f>IF(#REF!="","",#REF!)</f>
        <v>#REF!</v>
      </c>
      <c r="AW52" s="986" t="e">
        <f>IF(#REF!="","",#REF!)</f>
        <v>#REF!</v>
      </c>
      <c r="AX52" s="987" t="e">
        <f>IF(#REF!="","",#REF!)</f>
        <v>#REF!</v>
      </c>
    </row>
    <row r="53" spans="1:50">
      <c r="A53" s="689" t="str">
        <f>IF(데이터입력!Y63=0,"X",데이터입력!X63)</f>
        <v>웃음치료 등</v>
      </c>
      <c r="B53" s="709">
        <f>데이터입력!Y63</f>
        <v>240000</v>
      </c>
      <c r="C53" s="710" t="str">
        <f>IF(데이터입력!Z63="","X",데이터입력!Z63)</f>
        <v>X</v>
      </c>
      <c r="D53" s="919">
        <f>IF(B53="X",IF($H$2="추경",데이터입력!$Y$8,12),IF($H$2="추경",데이터입력!AA63,IF(데이터입력!$Y$8=12,데이터입력!AA63,12)))</f>
        <v>12</v>
      </c>
      <c r="E53" s="689" t="str">
        <f>IF(데이터입력!AC63=0,"X",데이터입력!AB63)</f>
        <v>진료비 등</v>
      </c>
      <c r="F53" s="690">
        <f>데이터입력!AC63</f>
        <v>1800000</v>
      </c>
      <c r="G53" s="689" t="str">
        <f>IF(데이터입력!AD63="","X",데이터입력!AD63)</f>
        <v>의료비대납외</v>
      </c>
      <c r="H53" s="690">
        <f>데이터입력!AE63</f>
        <v>400000</v>
      </c>
      <c r="I53" s="919">
        <f>IF(G53="X",IF($H$2="추경",데이터입력!$Y$8,12),IF($H$2="추경",데이터입력!AF63,IF(데이터입력!$Y$8=12,데이터입력!AF63,12)))</f>
        <v>12</v>
      </c>
      <c r="K53" s="40"/>
      <c r="L53" s="9"/>
      <c r="M53" s="9"/>
      <c r="N53" s="9"/>
      <c r="O53" s="9" t="str">
        <f>IFERROR(IF(예산업로드양식!E48="","",IF(예산업로드양식!F48="06",예산업로드양식!E48,"")),"")</f>
        <v/>
      </c>
      <c r="P53" s="10" t="str">
        <f>IFERROR(IF(예산업로드양식!H48="","",IF(예산업로드양식!F48="06",예산업로드양식!H48,"")),"")</f>
        <v/>
      </c>
      <c r="Q53" s="10" t="str">
        <f t="shared" si="0"/>
        <v/>
      </c>
      <c r="R53" s="10"/>
      <c r="S53" s="165"/>
      <c r="T53" s="40"/>
      <c r="U53" s="9"/>
      <c r="V53" s="9"/>
      <c r="W53" s="9"/>
      <c r="X53" s="9" t="str">
        <f>IFERROR(IF(예산업로드양식!E48="","",IF(예산업로드양식!F48="07",예산업로드양식!E48,"")),"")</f>
        <v/>
      </c>
      <c r="Y53" s="10" t="str">
        <f>IFERROR(IF(예산업로드양식!H48="","",IF(예산업로드양식!F48="07",예산업로드양식!H48,"")),"")</f>
        <v/>
      </c>
      <c r="Z53" s="10" t="str">
        <f t="shared" si="1"/>
        <v/>
      </c>
      <c r="AA53" s="10"/>
      <c r="AB53" s="165"/>
      <c r="AC53" s="40"/>
      <c r="AD53" s="9"/>
      <c r="AE53" s="9"/>
      <c r="AF53" s="9"/>
      <c r="AG53" s="9" t="str">
        <f>IFERROR(IF(예산업로드양식!E48="","",IF(예산업로드양식!F48="05",예산업로드양식!E48,"")),"")</f>
        <v/>
      </c>
      <c r="AH53" s="10" t="str">
        <f>IFERROR(IF(예산업로드양식!H48="","",IF(예산업로드양식!F48="05",예산업로드양식!H48,"")),"")</f>
        <v/>
      </c>
      <c r="AI53" s="10"/>
      <c r="AJ53" s="10"/>
      <c r="AL53" s="981" t="e">
        <f>IF(#REF!="","",#REF!)</f>
        <v>#REF!</v>
      </c>
      <c r="AM53" s="982" t="e">
        <f>IF(#REF!="","",#REF!)</f>
        <v>#REF!</v>
      </c>
      <c r="AN53" s="983" t="e">
        <f>IF(AND(#REF!="",#REF!=1),"",#REF!)</f>
        <v>#REF!</v>
      </c>
      <c r="AO53" s="984" t="e">
        <f>IF(#REF!="","",#REF!)</f>
        <v>#REF!</v>
      </c>
      <c r="AP53" s="971" t="e">
        <f>IF(#REF!="","",#REF!)</f>
        <v>#REF!</v>
      </c>
      <c r="AQ53" s="985" t="e">
        <f>IF(#REF!="","",#REF!)</f>
        <v>#REF!</v>
      </c>
      <c r="AR53" s="973" t="e">
        <f>IF(#REF!="","",#REF!)</f>
        <v>#REF!</v>
      </c>
      <c r="AS53" s="974" t="e">
        <f>IF(#REF!="","",#REF!)</f>
        <v>#REF!</v>
      </c>
      <c r="AT53" s="975" t="e">
        <f>IF(#REF!="","",#REF!)</f>
        <v>#REF!</v>
      </c>
      <c r="AU53" s="976" t="e">
        <f>IF(#REF!="","",#REF!)</f>
        <v>#REF!</v>
      </c>
      <c r="AV53" s="977" t="e">
        <f>IF(#REF!="","",#REF!)</f>
        <v>#REF!</v>
      </c>
      <c r="AW53" s="986" t="e">
        <f>IF(#REF!="","",#REF!)</f>
        <v>#REF!</v>
      </c>
      <c r="AX53" s="987" t="e">
        <f>IF(#REF!="","",#REF!)</f>
        <v>#REF!</v>
      </c>
    </row>
    <row r="54" spans="1:50">
      <c r="A54" s="689" t="str">
        <f>IF(데이터입력!Y64=0,"X",데이터입력!X64)</f>
        <v>맞춤치료 등</v>
      </c>
      <c r="B54" s="709">
        <f>데이터입력!Y64</f>
        <v>240000</v>
      </c>
      <c r="C54" s="710" t="str">
        <f>IF(데이터입력!Z64="","X",데이터입력!Z64)</f>
        <v>X</v>
      </c>
      <c r="D54" s="919">
        <f>IF(B54="X",IF($H$2="추경",데이터입력!$Y$8,12),IF($H$2="추경",데이터입력!AA64,IF(데이터입력!$Y$8=12,데이터입력!AA64,12)))</f>
        <v>12</v>
      </c>
      <c r="E54" s="689" t="str">
        <f>IF(데이터입력!AC64=0,"X",데이터입력!AB64)</f>
        <v>기타</v>
      </c>
      <c r="F54" s="690">
        <f>데이터입력!AC64</f>
        <v>1000000</v>
      </c>
      <c r="G54" s="689" t="str">
        <f>IF(데이터입력!AD64="","X",데이터입력!AD64)</f>
        <v>각종근로지원금지급</v>
      </c>
      <c r="H54" s="690">
        <f>데이터입력!AE64</f>
        <v>100000</v>
      </c>
      <c r="I54" s="919">
        <f>IF(G54="X",IF($H$2="추경",데이터입력!$Y$8,12),IF($H$2="추경",데이터입력!AF64,IF(데이터입력!$Y$8=12,데이터입력!AF64,12)))</f>
        <v>12</v>
      </c>
      <c r="K54" s="41"/>
      <c r="L54" s="11"/>
      <c r="M54" s="11"/>
      <c r="N54" s="11"/>
      <c r="O54" s="11" t="str">
        <f>IFERROR(IF(예산업로드양식!E49="","",IF(예산업로드양식!F49="06",예산업로드양식!E49,"")),"")</f>
        <v/>
      </c>
      <c r="P54" s="12" t="str">
        <f>IFERROR(IF(예산업로드양식!H49="","",IF(예산업로드양식!F49="06",예산업로드양식!H49,"")),"")</f>
        <v/>
      </c>
      <c r="Q54" s="6" t="str">
        <f t="shared" si="0"/>
        <v/>
      </c>
      <c r="R54" s="12"/>
      <c r="S54" s="165"/>
      <c r="T54" s="41"/>
      <c r="U54" s="11"/>
      <c r="V54" s="11"/>
      <c r="W54" s="11"/>
      <c r="X54" s="11" t="str">
        <f>IFERROR(IF(예산업로드양식!E49="","",IF(예산업로드양식!F49="07",예산업로드양식!E49,"")),"")</f>
        <v/>
      </c>
      <c r="Y54" s="12" t="str">
        <f>IFERROR(IF(예산업로드양식!H49="","",IF(예산업로드양식!F49="07",예산업로드양식!H49,"")),"")</f>
        <v/>
      </c>
      <c r="Z54" s="6" t="str">
        <f t="shared" si="1"/>
        <v/>
      </c>
      <c r="AA54" s="12"/>
      <c r="AB54" s="165"/>
      <c r="AC54" s="41"/>
      <c r="AD54" s="11"/>
      <c r="AE54" s="11"/>
      <c r="AF54" s="11"/>
      <c r="AG54" s="11" t="str">
        <f>IFERROR(IF(예산업로드양식!E49="","",IF(예산업로드양식!F49="05",예산업로드양식!E49,"")),"")</f>
        <v/>
      </c>
      <c r="AH54" s="12" t="str">
        <f>IFERROR(IF(예산업로드양식!H49="","",IF(예산업로드양식!F49="05",예산업로드양식!H49,"")),"")</f>
        <v/>
      </c>
      <c r="AI54" s="12"/>
      <c r="AJ54" s="12"/>
      <c r="AL54" s="981" t="e">
        <f>IF(#REF!="","",#REF!)</f>
        <v>#REF!</v>
      </c>
      <c r="AM54" s="982" t="e">
        <f>IF(#REF!="","",#REF!)</f>
        <v>#REF!</v>
      </c>
      <c r="AN54" s="983" t="e">
        <f>IF(AND(#REF!="",#REF!=1),"",#REF!)</f>
        <v>#REF!</v>
      </c>
      <c r="AO54" s="984" t="e">
        <f>IF(#REF!="","",#REF!)</f>
        <v>#REF!</v>
      </c>
      <c r="AP54" s="971" t="e">
        <f>IF(#REF!="","",#REF!)</f>
        <v>#REF!</v>
      </c>
      <c r="AQ54" s="985" t="e">
        <f>IF(#REF!="","",#REF!)</f>
        <v>#REF!</v>
      </c>
      <c r="AR54" s="973" t="e">
        <f>IF(#REF!="","",#REF!)</f>
        <v>#REF!</v>
      </c>
      <c r="AS54" s="974" t="e">
        <f>IF(#REF!="","",#REF!)</f>
        <v>#REF!</v>
      </c>
      <c r="AT54" s="975" t="e">
        <f>IF(#REF!="","",#REF!)</f>
        <v>#REF!</v>
      </c>
      <c r="AU54" s="976" t="e">
        <f>IF(#REF!="","",#REF!)</f>
        <v>#REF!</v>
      </c>
      <c r="AV54" s="977" t="e">
        <f>IF(#REF!="","",#REF!)</f>
        <v>#REF!</v>
      </c>
      <c r="AW54" s="986" t="e">
        <f>IF(#REF!="","",#REF!)</f>
        <v>#REF!</v>
      </c>
      <c r="AX54" s="987" t="e">
        <f>IF(#REF!="","",#REF!)</f>
        <v>#REF!</v>
      </c>
    </row>
    <row r="55" spans="1:50">
      <c r="A55" s="689" t="str">
        <f>IF(데이터입력!Y65=0,"X",데이터입력!X65)</f>
        <v>명절잔치(수급자)</v>
      </c>
      <c r="B55" s="709">
        <f>데이터입력!Y65</f>
        <v>5000</v>
      </c>
      <c r="C55" s="710">
        <f>IF(데이터입력!Z65="","X",데이터입력!Z65)</f>
        <v>45</v>
      </c>
      <c r="D55" s="919">
        <f>IF(B55="X",IF($H$2="추경",데이터입력!$Y$8,12),IF($H$2="추경",데이터입력!AA65,IF(데이터입력!$Y$8=12,데이터입력!AA65,12)))</f>
        <v>2</v>
      </c>
      <c r="E55" s="689" t="str">
        <f>IF(데이터입력!AB65="","X",데이터입력!AB65)</f>
        <v>X</v>
      </c>
      <c r="F55" s="690">
        <f>데이터입력!AC65</f>
        <v>0</v>
      </c>
      <c r="G55" s="689" t="str">
        <f>IF(데이터입력!AD65="","X",데이터입력!AD65)</f>
        <v>X</v>
      </c>
      <c r="H55" s="690">
        <f>데이터입력!AE65</f>
        <v>0</v>
      </c>
      <c r="I55" s="919">
        <f>IF(G55="X",IF($H$2="추경",데이터입력!$Y$8,12),IF($H$2="추경",데이터입력!AF65,IF(데이터입력!$Y$8=12,데이터입력!AF65,12)))</f>
        <v>12</v>
      </c>
      <c r="K55" s="40"/>
      <c r="L55" s="9"/>
      <c r="M55" s="9"/>
      <c r="N55" s="9"/>
      <c r="O55" s="9" t="str">
        <f>IFERROR(IF(예산업로드양식!E50="","",IF(예산업로드양식!F50="06",예산업로드양식!E50,"")),"")</f>
        <v/>
      </c>
      <c r="P55" s="10" t="str">
        <f>IFERROR(IF(예산업로드양식!H50="","",IF(예산업로드양식!F50="06",예산업로드양식!H50,"")),"")</f>
        <v/>
      </c>
      <c r="Q55" s="10" t="str">
        <f t="shared" si="0"/>
        <v/>
      </c>
      <c r="R55" s="10"/>
      <c r="S55" s="165"/>
      <c r="T55" s="40"/>
      <c r="U55" s="9"/>
      <c r="V55" s="9"/>
      <c r="W55" s="9"/>
      <c r="X55" s="9" t="str">
        <f>IFERROR(IF(예산업로드양식!E50="","",IF(예산업로드양식!F50="07",예산업로드양식!E50,"")),"")</f>
        <v/>
      </c>
      <c r="Y55" s="10" t="str">
        <f>IFERROR(IF(예산업로드양식!H50="","",IF(예산업로드양식!F50="07",예산업로드양식!H50,"")),"")</f>
        <v/>
      </c>
      <c r="Z55" s="10" t="str">
        <f t="shared" si="1"/>
        <v/>
      </c>
      <c r="AA55" s="10"/>
      <c r="AB55" s="165"/>
      <c r="AC55" s="40"/>
      <c r="AD55" s="9"/>
      <c r="AE55" s="9"/>
      <c r="AF55" s="9"/>
      <c r="AG55" s="9" t="str">
        <f>IFERROR(IF(예산업로드양식!E50="","",IF(예산업로드양식!F50="05",예산업로드양식!E50,"")),"")</f>
        <v/>
      </c>
      <c r="AH55" s="10" t="str">
        <f>IFERROR(IF(예산업로드양식!H50="","",IF(예산업로드양식!F50="05",예산업로드양식!H50,"")),"")</f>
        <v/>
      </c>
      <c r="AI55" s="10"/>
      <c r="AJ55" s="10"/>
      <c r="AL55" s="981" t="e">
        <f>IF(#REF!="","",#REF!)</f>
        <v>#REF!</v>
      </c>
      <c r="AM55" s="982" t="e">
        <f>IF(#REF!="","",#REF!)</f>
        <v>#REF!</v>
      </c>
      <c r="AN55" s="983" t="e">
        <f>IF(AND(#REF!="",#REF!=1),"",#REF!)</f>
        <v>#REF!</v>
      </c>
      <c r="AO55" s="984" t="e">
        <f>IF(#REF!="","",#REF!)</f>
        <v>#REF!</v>
      </c>
      <c r="AP55" s="971" t="e">
        <f>IF(#REF!="","",#REF!)</f>
        <v>#REF!</v>
      </c>
      <c r="AQ55" s="985" t="e">
        <f>IF(#REF!="","",#REF!)</f>
        <v>#REF!</v>
      </c>
      <c r="AR55" s="973" t="e">
        <f>IF(#REF!="","",#REF!)</f>
        <v>#REF!</v>
      </c>
      <c r="AS55" s="974" t="e">
        <f>IF(#REF!="","",#REF!)</f>
        <v>#REF!</v>
      </c>
      <c r="AT55" s="975" t="e">
        <f>IF(#REF!="","",#REF!)</f>
        <v>#REF!</v>
      </c>
      <c r="AU55" s="976" t="e">
        <f>IF(#REF!="","",#REF!)</f>
        <v>#REF!</v>
      </c>
      <c r="AV55" s="977" t="e">
        <f>IF(#REF!="","",#REF!)</f>
        <v>#REF!</v>
      </c>
      <c r="AW55" s="986" t="e">
        <f>IF(#REF!="","",#REF!)</f>
        <v>#REF!</v>
      </c>
      <c r="AX55" s="987" t="e">
        <f>IF(#REF!="","",#REF!)</f>
        <v>#REF!</v>
      </c>
    </row>
    <row r="56" spans="1:50">
      <c r="A56" s="689" t="str">
        <f>IF(데이터입력!Y66=0,"X",데이터입력!X66)</f>
        <v>생일잔치(수급자)</v>
      </c>
      <c r="B56" s="709">
        <f>데이터입력!Y66</f>
        <v>300000</v>
      </c>
      <c r="C56" s="710" t="str">
        <f>IF(데이터입력!Z66="","X",데이터입력!Z66)</f>
        <v>X</v>
      </c>
      <c r="D56" s="919">
        <f>IF(B56="X",IF($H$2="추경",데이터입력!$Y$8,12),IF($H$2="추경",데이터입력!AA66,IF(데이터입력!$Y$8=12,데이터입력!AA66,12)))</f>
        <v>12</v>
      </c>
      <c r="E56" s="689" t="str">
        <f>IF(데이터입력!AB66="","X",데이터입력!AB66)</f>
        <v>X</v>
      </c>
      <c r="F56" s="690">
        <f>데이터입력!AC66</f>
        <v>0</v>
      </c>
      <c r="G56" s="689" t="str">
        <f>IF(데이터입력!AD66="","X",데이터입력!AD66)</f>
        <v>X</v>
      </c>
      <c r="H56" s="690">
        <f>데이터입력!AE66</f>
        <v>0</v>
      </c>
      <c r="I56" s="919">
        <f>IF(G56="X",IF($H$2="추경",데이터입력!$Y$8,12),IF($H$2="추경",데이터입력!AF66,IF(데이터입력!$Y$8=12,데이터입력!AF66,12)))</f>
        <v>12</v>
      </c>
      <c r="K56" s="41"/>
      <c r="L56" s="11"/>
      <c r="M56" s="11"/>
      <c r="N56" s="11"/>
      <c r="O56" s="11" t="str">
        <f>IFERROR(IF(예산업로드양식!E51="","",IF(예산업로드양식!F51="06",예산업로드양식!E51,"")),"")</f>
        <v/>
      </c>
      <c r="P56" s="12" t="str">
        <f>IFERROR(IF(예산업로드양식!H51="","",IF(예산업로드양식!F51="06",예산업로드양식!H51,"")),"")</f>
        <v/>
      </c>
      <c r="Q56" s="6" t="str">
        <f t="shared" si="0"/>
        <v/>
      </c>
      <c r="R56" s="12"/>
      <c r="S56" s="165"/>
      <c r="T56" s="41"/>
      <c r="U56" s="11"/>
      <c r="V56" s="11"/>
      <c r="W56" s="11"/>
      <c r="X56" s="11" t="str">
        <f>IFERROR(IF(예산업로드양식!E51="","",IF(예산업로드양식!F51="07",예산업로드양식!E51,"")),"")</f>
        <v/>
      </c>
      <c r="Y56" s="12" t="str">
        <f>IFERROR(IF(예산업로드양식!H51="","",IF(예산업로드양식!F51="07",예산업로드양식!H51,"")),"")</f>
        <v/>
      </c>
      <c r="Z56" s="6" t="str">
        <f t="shared" si="1"/>
        <v/>
      </c>
      <c r="AA56" s="12"/>
      <c r="AB56" s="165"/>
      <c r="AC56" s="41"/>
      <c r="AD56" s="11"/>
      <c r="AE56" s="11"/>
      <c r="AF56" s="11"/>
      <c r="AG56" s="11" t="str">
        <f>IFERROR(IF(예산업로드양식!E51="","",IF(예산업로드양식!F51="05",예산업로드양식!E51,"")),"")</f>
        <v/>
      </c>
      <c r="AH56" s="12" t="str">
        <f>IFERROR(IF(예산업로드양식!H51="","",IF(예산업로드양식!F51="05",예산업로드양식!H51,"")),"")</f>
        <v/>
      </c>
      <c r="AI56" s="12"/>
      <c r="AJ56" s="12"/>
      <c r="AL56" s="981" t="e">
        <f>IF(#REF!="","",#REF!)</f>
        <v>#REF!</v>
      </c>
      <c r="AM56" s="982" t="e">
        <f>IF(#REF!="","",#REF!)</f>
        <v>#REF!</v>
      </c>
      <c r="AN56" s="983" t="e">
        <f>IF(AND(#REF!="",#REF!=1),"",#REF!)</f>
        <v>#REF!</v>
      </c>
      <c r="AO56" s="984" t="e">
        <f>IF(#REF!="","",#REF!)</f>
        <v>#REF!</v>
      </c>
      <c r="AP56" s="971" t="e">
        <f>IF(#REF!="","",#REF!)</f>
        <v>#REF!</v>
      </c>
      <c r="AQ56" s="985" t="e">
        <f>IF(#REF!="","",#REF!)</f>
        <v>#REF!</v>
      </c>
      <c r="AR56" s="973" t="e">
        <f>IF(#REF!="","",#REF!)</f>
        <v>#REF!</v>
      </c>
      <c r="AS56" s="974" t="e">
        <f>IF(#REF!="","",#REF!)</f>
        <v>#REF!</v>
      </c>
      <c r="AT56" s="975" t="e">
        <f>IF(#REF!="","",#REF!)</f>
        <v>#REF!</v>
      </c>
      <c r="AU56" s="976" t="e">
        <f>IF(#REF!="","",#REF!)</f>
        <v>#REF!</v>
      </c>
      <c r="AV56" s="977" t="e">
        <f>IF(#REF!="","",#REF!)</f>
        <v>#REF!</v>
      </c>
      <c r="AW56" s="986" t="e">
        <f>IF(#REF!="","",#REF!)</f>
        <v>#REF!</v>
      </c>
      <c r="AX56" s="987" t="e">
        <f>IF(#REF!="","",#REF!)</f>
        <v>#REF!</v>
      </c>
    </row>
    <row r="57" spans="1:50">
      <c r="A57" s="689" t="str">
        <f>IF(데이터입력!Y67=0,"X",데이터입력!X67)</f>
        <v>가족내방행사</v>
      </c>
      <c r="B57" s="709">
        <f>데이터입력!Y67</f>
        <v>1000000</v>
      </c>
      <c r="C57" s="710" t="str">
        <f>IF(데이터입력!Z67="","X",데이터입력!Z67)</f>
        <v>X</v>
      </c>
      <c r="D57" s="919">
        <f>IF(B57="X",IF($H$2="추경",데이터입력!$Y$8,12),IF($H$2="추경",데이터입력!AA67,IF(데이터입력!$Y$8=12,데이터입력!AA67,12)))</f>
        <v>1</v>
      </c>
      <c r="E57" s="689" t="str">
        <f>IF(데이터입력!AB67="","X",데이터입력!AB67)</f>
        <v>X</v>
      </c>
      <c r="F57" s="690">
        <f>데이터입력!AC67</f>
        <v>0</v>
      </c>
      <c r="G57" s="689" t="str">
        <f>IF(데이터입력!AD67="","X",데이터입력!AD67)</f>
        <v>X</v>
      </c>
      <c r="H57" s="690">
        <f>데이터입력!AE67</f>
        <v>0</v>
      </c>
      <c r="I57" s="919">
        <f>IF(G57="X",IF($H$2="추경",데이터입력!$Y$8,12),IF($H$2="추경",데이터입력!AF67,IF(데이터입력!$Y$8=12,데이터입력!AF67,12)))</f>
        <v>12</v>
      </c>
      <c r="K57" s="40"/>
      <c r="L57" s="9"/>
      <c r="M57" s="9"/>
      <c r="N57" s="9"/>
      <c r="O57" s="9" t="str">
        <f>IFERROR(IF(예산업로드양식!E52="","",IF(예산업로드양식!F52="06",예산업로드양식!E52,"")),"")</f>
        <v/>
      </c>
      <c r="P57" s="10" t="str">
        <f>IFERROR(IF(예산업로드양식!H52="","",IF(예산업로드양식!F52="06",예산업로드양식!H52,"")),"")</f>
        <v/>
      </c>
      <c r="Q57" s="10" t="str">
        <f t="shared" si="0"/>
        <v/>
      </c>
      <c r="R57" s="10"/>
      <c r="S57" s="165"/>
      <c r="T57" s="40"/>
      <c r="U57" s="9"/>
      <c r="V57" s="9"/>
      <c r="W57" s="9"/>
      <c r="X57" s="9" t="str">
        <f>IFERROR(IF(예산업로드양식!E52="","",IF(예산업로드양식!F52="07",예산업로드양식!E52,"")),"")</f>
        <v/>
      </c>
      <c r="Y57" s="10" t="str">
        <f>IFERROR(IF(예산업로드양식!H52="","",IF(예산업로드양식!F52="07",예산업로드양식!H52,"")),"")</f>
        <v/>
      </c>
      <c r="Z57" s="10" t="str">
        <f t="shared" si="1"/>
        <v/>
      </c>
      <c r="AA57" s="10"/>
      <c r="AB57" s="165"/>
      <c r="AC57" s="40"/>
      <c r="AD57" s="9"/>
      <c r="AE57" s="9"/>
      <c r="AF57" s="9"/>
      <c r="AG57" s="9" t="str">
        <f>IFERROR(IF(예산업로드양식!E52="","",IF(예산업로드양식!F52="05",예산업로드양식!E52,"")),"")</f>
        <v/>
      </c>
      <c r="AH57" s="10" t="str">
        <f>IFERROR(IF(예산업로드양식!H52="","",IF(예산업로드양식!F52="05",예산업로드양식!H52,"")),"")</f>
        <v/>
      </c>
      <c r="AI57" s="10"/>
      <c r="AJ57" s="10"/>
      <c r="AL57" s="981" t="e">
        <f>IF(#REF!="","",#REF!)</f>
        <v>#REF!</v>
      </c>
      <c r="AM57" s="982" t="e">
        <f>IF(#REF!="","",#REF!)</f>
        <v>#REF!</v>
      </c>
      <c r="AN57" s="983" t="e">
        <f>IF(AND(#REF!="",#REF!=1),"",#REF!)</f>
        <v>#REF!</v>
      </c>
      <c r="AO57" s="984" t="e">
        <f>IF(#REF!="","",#REF!)</f>
        <v>#REF!</v>
      </c>
      <c r="AP57" s="971" t="e">
        <f>IF(#REF!="","",#REF!)</f>
        <v>#REF!</v>
      </c>
      <c r="AQ57" s="985" t="e">
        <f>IF(#REF!="","",#REF!)</f>
        <v>#REF!</v>
      </c>
      <c r="AR57" s="973" t="e">
        <f>IF(#REF!="","",#REF!)</f>
        <v>#REF!</v>
      </c>
      <c r="AS57" s="974" t="e">
        <f>IF(#REF!="","",#REF!)</f>
        <v>#REF!</v>
      </c>
      <c r="AT57" s="975" t="e">
        <f>IF(#REF!="","",#REF!)</f>
        <v>#REF!</v>
      </c>
      <c r="AU57" s="976" t="e">
        <f>IF(#REF!="","",#REF!)</f>
        <v>#REF!</v>
      </c>
      <c r="AV57" s="977" t="e">
        <f>IF(#REF!="","",#REF!)</f>
        <v>#REF!</v>
      </c>
      <c r="AW57" s="986" t="e">
        <f>IF(#REF!="","",#REF!)</f>
        <v>#REF!</v>
      </c>
      <c r="AX57" s="987" t="e">
        <f>IF(#REF!="","",#REF!)</f>
        <v>#REF!</v>
      </c>
    </row>
    <row r="58" spans="1:50">
      <c r="A58" s="689" t="str">
        <f>IF(데이터입력!Y68=0,"X",데이터입력!X68)</f>
        <v>지역사회참여</v>
      </c>
      <c r="B58" s="709">
        <f>데이터입력!Y68</f>
        <v>200000</v>
      </c>
      <c r="C58" s="710" t="str">
        <f>IF(데이터입력!Z68="","X",데이터입력!Z68)</f>
        <v>X</v>
      </c>
      <c r="D58" s="919">
        <f>IF(B58="X",IF($H$2="추경",데이터입력!$Y$8,12),IF($H$2="추경",데이터입력!AA68,IF(데이터입력!$Y$8=12,데이터입력!AA68,12)))</f>
        <v>2</v>
      </c>
      <c r="E58" s="689" t="str">
        <f>IF(데이터입력!AB68="","X",데이터입력!AB68)</f>
        <v>X</v>
      </c>
      <c r="F58" s="690">
        <f>데이터입력!AC68</f>
        <v>0</v>
      </c>
      <c r="G58" s="689" t="str">
        <f>IF(데이터입력!AD68="","X",데이터입력!AD68)</f>
        <v>X</v>
      </c>
      <c r="H58" s="690">
        <f>데이터입력!AE68</f>
        <v>0</v>
      </c>
      <c r="I58" s="919">
        <f>IF(G58="X",IF($H$2="추경",데이터입력!$Y$8,12),IF($H$2="추경",데이터입력!AF68,IF(데이터입력!$Y$8=12,데이터입력!AF68,12)))</f>
        <v>12</v>
      </c>
      <c r="K58" s="41"/>
      <c r="L58" s="11"/>
      <c r="M58" s="11"/>
      <c r="N58" s="11"/>
      <c r="O58" s="11" t="str">
        <f>IFERROR(IF(예산업로드양식!E53="","",IF(예산업로드양식!F53="06",예산업로드양식!E53,"")),"")</f>
        <v/>
      </c>
      <c r="P58" s="12" t="str">
        <f>IFERROR(IF(예산업로드양식!H53="","",IF(예산업로드양식!F53="06",예산업로드양식!H53,"")),"")</f>
        <v/>
      </c>
      <c r="Q58" s="6" t="str">
        <f t="shared" si="0"/>
        <v/>
      </c>
      <c r="R58" s="12"/>
      <c r="S58" s="165"/>
      <c r="T58" s="41"/>
      <c r="U58" s="11"/>
      <c r="V58" s="11"/>
      <c r="W58" s="11"/>
      <c r="X58" s="11" t="str">
        <f>IFERROR(IF(예산업로드양식!E53="","",IF(예산업로드양식!F53="07",예산업로드양식!E53,"")),"")</f>
        <v/>
      </c>
      <c r="Y58" s="12" t="str">
        <f>IFERROR(IF(예산업로드양식!H53="","",IF(예산업로드양식!F53="07",예산업로드양식!H53,"")),"")</f>
        <v/>
      </c>
      <c r="Z58" s="6" t="str">
        <f t="shared" si="1"/>
        <v/>
      </c>
      <c r="AA58" s="12"/>
      <c r="AB58" s="165"/>
      <c r="AC58" s="41"/>
      <c r="AD58" s="11"/>
      <c r="AE58" s="11"/>
      <c r="AF58" s="11"/>
      <c r="AG58" s="11" t="str">
        <f>IFERROR(IF(예산업로드양식!E53="","",IF(예산업로드양식!F53="05",예산업로드양식!E53,"")),"")</f>
        <v/>
      </c>
      <c r="AH58" s="12" t="str">
        <f>IFERROR(IF(예산업로드양식!H53="","",IF(예산업로드양식!F53="05",예산업로드양식!H53,"")),"")</f>
        <v/>
      </c>
      <c r="AI58" s="12"/>
      <c r="AJ58" s="12"/>
      <c r="AL58" s="981" t="e">
        <f>IF(#REF!="","",#REF!)</f>
        <v>#REF!</v>
      </c>
      <c r="AM58" s="982" t="e">
        <f>IF(#REF!="","",#REF!)</f>
        <v>#REF!</v>
      </c>
      <c r="AN58" s="983" t="e">
        <f>IF(AND(#REF!="",#REF!=1),"",#REF!)</f>
        <v>#REF!</v>
      </c>
      <c r="AO58" s="984" t="e">
        <f>IF(#REF!="","",#REF!)</f>
        <v>#REF!</v>
      </c>
      <c r="AP58" s="971" t="e">
        <f>IF(#REF!="","",#REF!)</f>
        <v>#REF!</v>
      </c>
      <c r="AQ58" s="985" t="e">
        <f>IF(#REF!="","",#REF!)</f>
        <v>#REF!</v>
      </c>
      <c r="AR58" s="973" t="e">
        <f>IF(#REF!="","",#REF!)</f>
        <v>#REF!</v>
      </c>
      <c r="AS58" s="974" t="e">
        <f>IF(#REF!="","",#REF!)</f>
        <v>#REF!</v>
      </c>
      <c r="AT58" s="975" t="e">
        <f>IF(#REF!="","",#REF!)</f>
        <v>#REF!</v>
      </c>
      <c r="AU58" s="976" t="e">
        <f>IF(#REF!="","",#REF!)</f>
        <v>#REF!</v>
      </c>
      <c r="AV58" s="977" t="e">
        <f>IF(#REF!="","",#REF!)</f>
        <v>#REF!</v>
      </c>
      <c r="AW58" s="986" t="e">
        <f>IF(#REF!="","",#REF!)</f>
        <v>#REF!</v>
      </c>
      <c r="AX58" s="987" t="e">
        <f>IF(#REF!="","",#REF!)</f>
        <v>#REF!</v>
      </c>
    </row>
    <row r="59" spans="1:50">
      <c r="A59" s="689" t="str">
        <f>IF(데이터입력!Y69=0,"X",데이터입력!X69)</f>
        <v>X</v>
      </c>
      <c r="B59" s="709">
        <f>데이터입력!Y69</f>
        <v>0</v>
      </c>
      <c r="C59" s="710" t="str">
        <f>IF(데이터입력!Z69="","X",데이터입력!Z69)</f>
        <v>X</v>
      </c>
      <c r="D59" s="919">
        <f>IF(B59="X",IF($H$2="추경",데이터입력!$Y$8,12),IF($H$2="추경",데이터입력!AA69,IF(데이터입력!$Y$8=12,데이터입력!AA69,12)))</f>
        <v>12</v>
      </c>
      <c r="E59" s="689" t="str">
        <f>IF(데이터입력!AB69="","X",데이터입력!AB69)</f>
        <v>X</v>
      </c>
      <c r="F59" s="690">
        <f>데이터입력!AC69</f>
        <v>0</v>
      </c>
      <c r="G59" s="689" t="str">
        <f>IF(데이터입력!AD69="","X",데이터입력!AD69)</f>
        <v>X</v>
      </c>
      <c r="H59" s="690">
        <f>데이터입력!AE69</f>
        <v>0</v>
      </c>
      <c r="I59" s="919">
        <f>IF(G59="X",IF($H$2="추경",데이터입력!$Y$8,12),IF($H$2="추경",데이터입력!AF69,IF(데이터입력!$Y$8=12,데이터입력!AF69,12)))</f>
        <v>12</v>
      </c>
      <c r="K59" s="40"/>
      <c r="L59" s="9"/>
      <c r="M59" s="9"/>
      <c r="N59" s="9"/>
      <c r="O59" s="9" t="str">
        <f>IFERROR(IF(예산업로드양식!E54="","",IF(예산업로드양식!F54="06",예산업로드양식!E54,"")),"")</f>
        <v/>
      </c>
      <c r="P59" s="10" t="str">
        <f>IFERROR(IF(예산업로드양식!H54="","",IF(예산업로드양식!F54="06",예산업로드양식!H54,"")),"")</f>
        <v/>
      </c>
      <c r="Q59" s="10" t="str">
        <f t="shared" si="0"/>
        <v/>
      </c>
      <c r="R59" s="10"/>
      <c r="S59" s="165"/>
      <c r="T59" s="40"/>
      <c r="U59" s="9"/>
      <c r="V59" s="9"/>
      <c r="W59" s="9"/>
      <c r="X59" s="9" t="str">
        <f>IFERROR(IF(예산업로드양식!E54="","",IF(예산업로드양식!F54="07",예산업로드양식!E54,"")),"")</f>
        <v/>
      </c>
      <c r="Y59" s="10" t="str">
        <f>IFERROR(IF(예산업로드양식!H54="","",IF(예산업로드양식!F54="07",예산업로드양식!H54,"")),"")</f>
        <v/>
      </c>
      <c r="Z59" s="10" t="str">
        <f t="shared" si="1"/>
        <v/>
      </c>
      <c r="AA59" s="10"/>
      <c r="AB59" s="165"/>
      <c r="AC59" s="40"/>
      <c r="AD59" s="9"/>
      <c r="AE59" s="9"/>
      <c r="AF59" s="9"/>
      <c r="AG59" s="9" t="str">
        <f>IFERROR(IF(예산업로드양식!E54="","",IF(예산업로드양식!F54="05",예산업로드양식!E54,"")),"")</f>
        <v/>
      </c>
      <c r="AH59" s="10" t="str">
        <f>IFERROR(IF(예산업로드양식!H54="","",IF(예산업로드양식!F54="05",예산업로드양식!H54,"")),"")</f>
        <v/>
      </c>
      <c r="AI59" s="10"/>
      <c r="AJ59" s="10"/>
      <c r="AL59" s="981" t="e">
        <f>IF(#REF!="","",#REF!)</f>
        <v>#REF!</v>
      </c>
      <c r="AM59" s="982" t="e">
        <f>IF(#REF!="","",#REF!)</f>
        <v>#REF!</v>
      </c>
      <c r="AN59" s="983" t="e">
        <f>IF(AND(#REF!="",#REF!=1),"",#REF!)</f>
        <v>#REF!</v>
      </c>
      <c r="AO59" s="984" t="e">
        <f>IF(#REF!="","",#REF!)</f>
        <v>#REF!</v>
      </c>
      <c r="AP59" s="971" t="e">
        <f>IF(#REF!="","",#REF!)</f>
        <v>#REF!</v>
      </c>
      <c r="AQ59" s="985" t="e">
        <f>IF(#REF!="","",#REF!)</f>
        <v>#REF!</v>
      </c>
      <c r="AR59" s="973" t="e">
        <f>IF(#REF!="","",#REF!)</f>
        <v>#REF!</v>
      </c>
      <c r="AS59" s="974" t="e">
        <f>IF(#REF!="","",#REF!)</f>
        <v>#REF!</v>
      </c>
      <c r="AT59" s="975" t="e">
        <f>IF(#REF!="","",#REF!)</f>
        <v>#REF!</v>
      </c>
      <c r="AU59" s="976" t="e">
        <f>IF(#REF!="","",#REF!)</f>
        <v>#REF!</v>
      </c>
      <c r="AV59" s="977" t="e">
        <f>IF(#REF!="","",#REF!)</f>
        <v>#REF!</v>
      </c>
      <c r="AW59" s="986" t="e">
        <f>IF(#REF!="","",#REF!)</f>
        <v>#REF!</v>
      </c>
      <c r="AX59" s="987" t="e">
        <f>IF(#REF!="","",#REF!)</f>
        <v>#REF!</v>
      </c>
    </row>
    <row r="60" spans="1:50" ht="17.25" thickBot="1">
      <c r="A60" s="689" t="str">
        <f>IF(데이터입력!X70="","X",데이터입력!X70)</f>
        <v>X</v>
      </c>
      <c r="B60" s="709">
        <f>데이터입력!Y70</f>
        <v>0</v>
      </c>
      <c r="C60" s="710" t="str">
        <f>IF(데이터입력!Z70="","X",데이터입력!Z70)</f>
        <v>X</v>
      </c>
      <c r="D60" s="919">
        <f>IF(B60="X",IF($H$2="추경",데이터입력!$Y$8,12),IF($H$2="추경",데이터입력!AA70,IF(데이터입력!$Y$8=12,데이터입력!AA70,12)))</f>
        <v>12</v>
      </c>
      <c r="E60" s="689" t="str">
        <f>IF(데이터입력!AB70="","X",데이터입력!AB70)</f>
        <v>X</v>
      </c>
      <c r="F60" s="690">
        <f>데이터입력!AC70</f>
        <v>0</v>
      </c>
      <c r="G60" s="689" t="str">
        <f>IF(데이터입력!AD70="","X",데이터입력!AD70)</f>
        <v>X</v>
      </c>
      <c r="H60" s="690">
        <f>데이터입력!AE70</f>
        <v>0</v>
      </c>
      <c r="I60" s="919">
        <f>IF(G60="X",IF($H$2="추경",데이터입력!$Y$8,12),IF($H$2="추경",데이터입력!AF70,IF(데이터입력!$Y$8=12,데이터입력!AF70,12)))</f>
        <v>12</v>
      </c>
      <c r="K60" s="41"/>
      <c r="L60" s="11"/>
      <c r="M60" s="11"/>
      <c r="N60" s="11"/>
      <c r="O60" s="11" t="str">
        <f>IFERROR(IF(예산업로드양식!E55="","",IF(예산업로드양식!F55="06",예산업로드양식!E55,"")),"")</f>
        <v/>
      </c>
      <c r="P60" s="12" t="str">
        <f>IFERROR(IF(예산업로드양식!H55="","",IF(예산업로드양식!F55="06",예산업로드양식!H55,"")),"")</f>
        <v/>
      </c>
      <c r="Q60" s="6" t="str">
        <f t="shared" si="0"/>
        <v/>
      </c>
      <c r="R60" s="12"/>
      <c r="S60" s="165"/>
      <c r="T60" s="41"/>
      <c r="U60" s="11"/>
      <c r="V60" s="11"/>
      <c r="W60" s="11"/>
      <c r="X60" s="11" t="str">
        <f>IFERROR(IF(예산업로드양식!E55="","",IF(예산업로드양식!F55="07",예산업로드양식!E55,"")),"")</f>
        <v/>
      </c>
      <c r="Y60" s="12" t="str">
        <f>IFERROR(IF(예산업로드양식!H55="","",IF(예산업로드양식!F55="07",예산업로드양식!H55,"")),"")</f>
        <v/>
      </c>
      <c r="Z60" s="6" t="str">
        <f t="shared" si="1"/>
        <v/>
      </c>
      <c r="AA60" s="12"/>
      <c r="AB60" s="165"/>
      <c r="AC60" s="41"/>
      <c r="AD60" s="11"/>
      <c r="AE60" s="11"/>
      <c r="AF60" s="11"/>
      <c r="AG60" s="11" t="str">
        <f>IFERROR(IF(예산업로드양식!E55="","",IF(예산업로드양식!F55="05",예산업로드양식!E55,"")),"")</f>
        <v/>
      </c>
      <c r="AH60" s="12" t="str">
        <f>IFERROR(IF(예산업로드양식!H55="","",IF(예산업로드양식!F55="05",예산업로드양식!H55,"")),"")</f>
        <v/>
      </c>
      <c r="AI60" s="12"/>
      <c r="AJ60" s="12"/>
      <c r="AL60" s="981" t="e">
        <f>IF(#REF!="","",#REF!)</f>
        <v>#REF!</v>
      </c>
      <c r="AM60" s="982" t="e">
        <f>IF(#REF!="","",#REF!)</f>
        <v>#REF!</v>
      </c>
      <c r="AN60" s="983" t="e">
        <f>IF(AND(#REF!="",#REF!=1),"",#REF!)</f>
        <v>#REF!</v>
      </c>
      <c r="AO60" s="984" t="e">
        <f>IF(#REF!="","",#REF!)</f>
        <v>#REF!</v>
      </c>
      <c r="AP60" s="971" t="e">
        <f>IF(#REF!="","",#REF!)</f>
        <v>#REF!</v>
      </c>
      <c r="AQ60" s="985" t="e">
        <f>IF(#REF!="","",#REF!)</f>
        <v>#REF!</v>
      </c>
      <c r="AR60" s="973" t="e">
        <f>IF(#REF!="","",#REF!)</f>
        <v>#REF!</v>
      </c>
      <c r="AS60" s="974" t="e">
        <f>IF(#REF!="","",#REF!)</f>
        <v>#REF!</v>
      </c>
      <c r="AT60" s="975" t="e">
        <f>IF(#REF!="","",#REF!)</f>
        <v>#REF!</v>
      </c>
      <c r="AU60" s="976" t="e">
        <f>IF(#REF!="","",#REF!)</f>
        <v>#REF!</v>
      </c>
      <c r="AV60" s="977" t="e">
        <f>IF(#REF!="","",#REF!)</f>
        <v>#REF!</v>
      </c>
      <c r="AW60" s="986" t="e">
        <f>IF(#REF!="","",#REF!)</f>
        <v>#REF!</v>
      </c>
      <c r="AX60" s="987" t="e">
        <f>IF(#REF!="","",#REF!)</f>
        <v>#REF!</v>
      </c>
    </row>
    <row r="61" spans="1:50" ht="18" thickTop="1" thickBot="1">
      <c r="A61" s="689" t="str">
        <f>IF(데이터입력!X71="","X",데이터입력!X71)</f>
        <v>X</v>
      </c>
      <c r="B61" s="709">
        <f>데이터입력!Y71</f>
        <v>0</v>
      </c>
      <c r="C61" s="710" t="str">
        <f>IF(데이터입력!Z71="","X",데이터입력!Z71)</f>
        <v>X</v>
      </c>
      <c r="D61" s="919">
        <f>IF(B61="X",IF($H$2="추경",데이터입력!$Y$8,12),IF($H$2="추경",데이터입력!AA71,IF(데이터입력!$Y$8=12,데이터입력!AA71,12)))</f>
        <v>12</v>
      </c>
      <c r="E61" s="689" t="str">
        <f>IF(데이터입력!AB71="","X",데이터입력!AB71)</f>
        <v>X</v>
      </c>
      <c r="F61" s="690">
        <f>데이터입력!AC71</f>
        <v>0</v>
      </c>
      <c r="G61" s="689" t="str">
        <f>IF(데이터입력!AD71="","X",데이터입력!AD71)</f>
        <v>X</v>
      </c>
      <c r="H61" s="690">
        <f>데이터입력!AE71</f>
        <v>0</v>
      </c>
      <c r="I61" s="919">
        <f>IF(G61="X",IF($H$2="추경",데이터입력!$Y$8,12),IF($H$2="추경",데이터입력!AF71,IF(데이터입력!$Y$8=12,데이터입력!AF71,12)))</f>
        <v>12</v>
      </c>
      <c r="K61" s="40"/>
      <c r="L61" s="9"/>
      <c r="M61" s="9"/>
      <c r="N61" s="9"/>
      <c r="O61" s="9" t="str">
        <f>IFERROR(IF(예산업로드양식!E56="","",IF(예산업로드양식!F56="06",예산업로드양식!E56,"")),"")</f>
        <v/>
      </c>
      <c r="P61" s="10" t="str">
        <f>IFERROR(IF(예산업로드양식!H56="","",IF(예산업로드양식!F56="06",예산업로드양식!H56,"")),"")</f>
        <v/>
      </c>
      <c r="Q61" s="10" t="str">
        <f t="shared" si="0"/>
        <v/>
      </c>
      <c r="R61" s="10"/>
      <c r="S61" s="165"/>
      <c r="T61" s="40"/>
      <c r="U61" s="9"/>
      <c r="V61" s="9"/>
      <c r="W61" s="9"/>
      <c r="X61" s="9" t="str">
        <f>IFERROR(IF(예산업로드양식!E56="","",IF(예산업로드양식!F56="07",예산업로드양식!E56,"")),"")</f>
        <v/>
      </c>
      <c r="Y61" s="10" t="str">
        <f>IFERROR(IF(예산업로드양식!H56="","",IF(예산업로드양식!F56="07",예산업로드양식!H56,"")),"")</f>
        <v/>
      </c>
      <c r="Z61" s="10" t="str">
        <f t="shared" si="1"/>
        <v/>
      </c>
      <c r="AA61" s="10"/>
      <c r="AB61" s="165"/>
      <c r="AC61" s="40"/>
      <c r="AD61" s="9"/>
      <c r="AE61" s="9"/>
      <c r="AF61" s="9"/>
      <c r="AG61" s="9" t="str">
        <f>IFERROR(IF(예산업로드양식!E56="","",IF(예산업로드양식!F56="05",예산업로드양식!E56,"")),"")</f>
        <v/>
      </c>
      <c r="AH61" s="10" t="str">
        <f>IFERROR(IF(예산업로드양식!H56="","",IF(예산업로드양식!F56="05",예산업로드양식!H56,"")),"")</f>
        <v/>
      </c>
      <c r="AI61" s="10"/>
      <c r="AJ61" s="10"/>
      <c r="AL61" s="1090" t="s">
        <v>465</v>
      </c>
      <c r="AM61" s="1091"/>
      <c r="AN61" s="1009" t="e">
        <f>SUM(AN11:AN60)</f>
        <v>#REF!</v>
      </c>
      <c r="AO61" s="1009" t="e">
        <f>SUM(AO11:AO60)</f>
        <v>#REF!</v>
      </c>
      <c r="AP61" s="1010" t="e">
        <f>IF(AN61+AO61=0,0,SUM(AP11:AP60))</f>
        <v>#REF!</v>
      </c>
      <c r="AQ61" s="1011" t="e">
        <f>SUM(AQ11:AQ60)</f>
        <v>#REF!</v>
      </c>
      <c r="AR61" s="1012" t="e">
        <f>SUM(AR11:AR60)</f>
        <v>#REF!</v>
      </c>
      <c r="AS61" s="1012" t="e">
        <f>SUM(AS11:AS60)</f>
        <v>#REF!</v>
      </c>
      <c r="AT61" s="1010" t="e">
        <f>IF(AN61+AO61=0,0,SUM(AT11:AT60))</f>
        <v>#REF!</v>
      </c>
      <c r="AU61" s="1013" t="e">
        <f>SUM(AU11:AU53)</f>
        <v>#REF!</v>
      </c>
      <c r="AV61" s="1013" t="e">
        <f>SUM(AV11:AV53)</f>
        <v>#REF!</v>
      </c>
      <c r="AW61" s="1014"/>
      <c r="AX61" s="1014"/>
    </row>
    <row r="62" spans="1:50" ht="25.5" thickTop="1" thickBot="1">
      <c r="A62" s="712"/>
      <c r="B62" s="695"/>
      <c r="C62" s="695"/>
      <c r="D62" s="695"/>
      <c r="E62" s="695"/>
      <c r="F62" s="695"/>
      <c r="G62" s="345" t="s">
        <v>212</v>
      </c>
      <c r="H62" s="748"/>
      <c r="I62" s="366" t="s">
        <v>214</v>
      </c>
      <c r="K62" s="41"/>
      <c r="L62" s="11"/>
      <c r="M62" s="11"/>
      <c r="N62" s="11"/>
      <c r="O62" s="11" t="str">
        <f>IFERROR(IF(예산업로드양식!E57="","",IF(예산업로드양식!F57="06",예산업로드양식!E57,"")),"")</f>
        <v/>
      </c>
      <c r="P62" s="12" t="str">
        <f>IFERROR(IF(예산업로드양식!H57="","",IF(예산업로드양식!F57="06",예산업로드양식!H57,"")),"")</f>
        <v/>
      </c>
      <c r="Q62" s="6" t="str">
        <f t="shared" si="0"/>
        <v/>
      </c>
      <c r="R62" s="12"/>
      <c r="S62" s="165"/>
      <c r="T62" s="41"/>
      <c r="U62" s="11"/>
      <c r="V62" s="11"/>
      <c r="W62" s="11"/>
      <c r="X62" s="11" t="str">
        <f>IFERROR(IF(예산업로드양식!E57="","",IF(예산업로드양식!F57="07",예산업로드양식!E57,"")),"")</f>
        <v/>
      </c>
      <c r="Y62" s="12" t="str">
        <f>IFERROR(IF(예산업로드양식!H57="","",IF(예산업로드양식!F57="07",예산업로드양식!H57,"")),"")</f>
        <v/>
      </c>
      <c r="Z62" s="6" t="str">
        <f t="shared" si="1"/>
        <v/>
      </c>
      <c r="AA62" s="12"/>
      <c r="AB62" s="165"/>
      <c r="AC62" s="41"/>
      <c r="AD62" s="11"/>
      <c r="AE62" s="11"/>
      <c r="AF62" s="11"/>
      <c r="AG62" s="11" t="str">
        <f>IFERROR(IF(예산업로드양식!E57="","",IF(예산업로드양식!F57="05",예산업로드양식!E57,"")),"")</f>
        <v/>
      </c>
      <c r="AH62" s="12" t="str">
        <f>IFERROR(IF(예산업로드양식!H57="","",IF(예산업로드양식!F57="05",예산업로드양식!H57,"")),"")</f>
        <v/>
      </c>
      <c r="AI62" s="12"/>
      <c r="AJ62" s="12"/>
      <c r="AL62" s="1015" t="s">
        <v>454</v>
      </c>
      <c r="AM62" s="1016" t="s">
        <v>720</v>
      </c>
      <c r="AN62" s="1016" t="s">
        <v>250</v>
      </c>
      <c r="AO62" s="1017" t="s">
        <v>431</v>
      </c>
      <c r="AP62" s="1018" t="s">
        <v>459</v>
      </c>
      <c r="AQ62" s="1019" t="s">
        <v>432</v>
      </c>
      <c r="AR62" s="1016" t="s">
        <v>457</v>
      </c>
      <c r="AS62" s="1017" t="s">
        <v>458</v>
      </c>
      <c r="AT62" s="1018" t="s">
        <v>460</v>
      </c>
      <c r="AU62" s="1018" t="s">
        <v>690</v>
      </c>
      <c r="AV62" s="1018" t="s">
        <v>691</v>
      </c>
      <c r="AW62" s="1020" t="s">
        <v>461</v>
      </c>
      <c r="AX62" s="1021" t="s">
        <v>462</v>
      </c>
    </row>
    <row r="63" spans="1:50" ht="17.25" thickBot="1">
      <c r="A63" s="716" t="s">
        <v>370</v>
      </c>
      <c r="B63" s="717"/>
      <c r="C63" s="717"/>
      <c r="D63" s="717"/>
      <c r="E63" s="717"/>
      <c r="F63" s="717"/>
      <c r="G63" s="914" t="s">
        <v>16</v>
      </c>
      <c r="H63" s="1130"/>
      <c r="I63" s="545"/>
      <c r="K63" s="40"/>
      <c r="L63" s="9"/>
      <c r="M63" s="9"/>
      <c r="N63" s="9"/>
      <c r="O63" s="9" t="str">
        <f>IFERROR(IF(예산업로드양식!E58="","",IF(예산업로드양식!F58="06",예산업로드양식!E58,"")),"")</f>
        <v/>
      </c>
      <c r="P63" s="10" t="str">
        <f>IFERROR(IF(예산업로드양식!H58="","",IF(예산업로드양식!F58="06",예산업로드양식!H58,"")),"")</f>
        <v/>
      </c>
      <c r="Q63" s="10" t="str">
        <f t="shared" si="0"/>
        <v/>
      </c>
      <c r="R63" s="10"/>
      <c r="S63" s="165"/>
      <c r="T63" s="40"/>
      <c r="U63" s="9"/>
      <c r="V63" s="9"/>
      <c r="W63" s="9"/>
      <c r="X63" s="9" t="str">
        <f>IFERROR(IF(예산업로드양식!E58="","",IF(예산업로드양식!F58="07",예산업로드양식!E58,"")),"")</f>
        <v/>
      </c>
      <c r="Y63" s="10" t="str">
        <f>IFERROR(IF(예산업로드양식!H58="","",IF(예산업로드양식!F58="07",예산업로드양식!H58,"")),"")</f>
        <v/>
      </c>
      <c r="Z63" s="10" t="str">
        <f t="shared" si="1"/>
        <v/>
      </c>
      <c r="AA63" s="10"/>
      <c r="AB63" s="165"/>
      <c r="AC63" s="40"/>
      <c r="AD63" s="9"/>
      <c r="AE63" s="9"/>
      <c r="AF63" s="9"/>
      <c r="AG63" s="9" t="str">
        <f>IFERROR(IF(예산업로드양식!E58="","",IF(예산업로드양식!F58="05",예산업로드양식!E58,"")),"")</f>
        <v/>
      </c>
      <c r="AH63" s="10" t="str">
        <f>IFERROR(IF(예산업로드양식!H58="","",IF(예산업로드양식!F58="05",예산업로드양식!H58,"")),"")</f>
        <v/>
      </c>
      <c r="AI63" s="10"/>
      <c r="AJ63" s="10"/>
      <c r="AL63" s="1035" t="e">
        <f>IF(#REF!="","",#REF!)</f>
        <v>#REF!</v>
      </c>
      <c r="AM63" s="1036" t="e">
        <f>IF(#REF!="","",#REF!)</f>
        <v>#REF!</v>
      </c>
      <c r="AN63" s="1037" t="e">
        <f>IF(AND(#REF!="",#REF!=1),"",#REF!)</f>
        <v>#REF!</v>
      </c>
      <c r="AO63" s="1038" t="e">
        <f>IF(#REF!="","",#REF!)</f>
        <v>#REF!</v>
      </c>
      <c r="AP63" s="971" t="e">
        <f>IF(#REF!="","",#REF!)</f>
        <v>#REF!</v>
      </c>
      <c r="AQ63" s="1039" t="e">
        <f>IF(#REF!="","",#REF!)</f>
        <v>#REF!</v>
      </c>
      <c r="AR63" s="973" t="e">
        <f>IF(#REF!="","",#REF!)</f>
        <v>#REF!</v>
      </c>
      <c r="AS63" s="974" t="e">
        <f>IF(#REF!="","",#REF!)</f>
        <v>#REF!</v>
      </c>
      <c r="AT63" s="975" t="e">
        <f>IF(#REF!="","",#REF!)</f>
        <v>#REF!</v>
      </c>
      <c r="AU63" s="976" t="e">
        <f>IF(#REF!="","",#REF!)</f>
        <v>#REF!</v>
      </c>
      <c r="AV63" s="977" t="e">
        <f>IF(#REF!="","",#REF!)</f>
        <v>#REF!</v>
      </c>
      <c r="AW63" s="1040" t="e">
        <f>IF(#REF!="","",#REF!)</f>
        <v>#REF!</v>
      </c>
      <c r="AX63" s="987" t="e">
        <f>IF(#REF!="","",#REF!)</f>
        <v>#REF!</v>
      </c>
    </row>
    <row r="64" spans="1:50" ht="17.25" thickBot="1">
      <c r="A64" s="694" t="s">
        <v>210</v>
      </c>
      <c r="B64" s="693"/>
      <c r="C64" s="694" t="s">
        <v>211</v>
      </c>
      <c r="D64" s="693"/>
      <c r="E64" s="694" t="s">
        <v>213</v>
      </c>
      <c r="F64" s="706"/>
      <c r="G64" s="1129" t="s">
        <v>765</v>
      </c>
      <c r="H64" s="1131"/>
      <c r="I64" s="1132"/>
      <c r="K64" s="41"/>
      <c r="L64" s="11"/>
      <c r="M64" s="11"/>
      <c r="N64" s="11"/>
      <c r="O64" s="11" t="str">
        <f>IFERROR(IF(예산업로드양식!E59="","",IF(예산업로드양식!F59="06",예산업로드양식!E59,"")),"")</f>
        <v/>
      </c>
      <c r="P64" s="12" t="str">
        <f>IFERROR(IF(예산업로드양식!H59="","",IF(예산업로드양식!F59="06",예산업로드양식!H59,"")),"")</f>
        <v/>
      </c>
      <c r="Q64" s="6" t="str">
        <f t="shared" si="0"/>
        <v/>
      </c>
      <c r="R64" s="12"/>
      <c r="S64" s="165"/>
      <c r="T64" s="41"/>
      <c r="U64" s="11"/>
      <c r="V64" s="11"/>
      <c r="W64" s="11"/>
      <c r="X64" s="11" t="str">
        <f>IFERROR(IF(예산업로드양식!E59="","",IF(예산업로드양식!F59="07",예산업로드양식!E59,"")),"")</f>
        <v/>
      </c>
      <c r="Y64" s="12" t="str">
        <f>IFERROR(IF(예산업로드양식!H59="","",IF(예산업로드양식!F59="07",예산업로드양식!H59,"")),"")</f>
        <v/>
      </c>
      <c r="Z64" s="6" t="str">
        <f t="shared" si="1"/>
        <v/>
      </c>
      <c r="AA64" s="12"/>
      <c r="AB64" s="165"/>
      <c r="AC64" s="41"/>
      <c r="AD64" s="11"/>
      <c r="AE64" s="11"/>
      <c r="AF64" s="11"/>
      <c r="AG64" s="11" t="str">
        <f>IFERROR(IF(예산업로드양식!E59="","",IF(예산업로드양식!F59="05",예산업로드양식!E59,"")),"")</f>
        <v/>
      </c>
      <c r="AH64" s="12" t="str">
        <f>IFERROR(IF(예산업로드양식!H59="","",IF(예산업로드양식!F59="05",예산업로드양식!H59,"")),"")</f>
        <v/>
      </c>
      <c r="AI64" s="12"/>
      <c r="AJ64" s="12"/>
      <c r="AL64" s="1035" t="e">
        <f>IF(#REF!="","",#REF!)</f>
        <v>#REF!</v>
      </c>
      <c r="AM64" s="1036" t="e">
        <f>IF(#REF!="","",#REF!)</f>
        <v>#REF!</v>
      </c>
      <c r="AN64" s="1037" t="e">
        <f>IF(AND(#REF!="",#REF!=1),"",#REF!)</f>
        <v>#REF!</v>
      </c>
      <c r="AO64" s="1038" t="e">
        <f>IF(#REF!="","",#REF!)</f>
        <v>#REF!</v>
      </c>
      <c r="AP64" s="971" t="e">
        <f>IF(#REF!="","",#REF!)</f>
        <v>#REF!</v>
      </c>
      <c r="AQ64" s="1039" t="e">
        <f>IF(#REF!="","",#REF!)</f>
        <v>#REF!</v>
      </c>
      <c r="AR64" s="973" t="e">
        <f>IF(#REF!="","",#REF!)</f>
        <v>#REF!</v>
      </c>
      <c r="AS64" s="974" t="e">
        <f>IF(#REF!="","",#REF!)</f>
        <v>#REF!</v>
      </c>
      <c r="AT64" s="975" t="e">
        <f>IF(#REF!="","",#REF!)</f>
        <v>#REF!</v>
      </c>
      <c r="AU64" s="976" t="e">
        <f>IF(#REF!="","",#REF!)</f>
        <v>#REF!</v>
      </c>
      <c r="AV64" s="977" t="e">
        <f>IF(#REF!="","",#REF!)</f>
        <v>#REF!</v>
      </c>
      <c r="AW64" s="1040" t="e">
        <f>IF(#REF!="","",#REF!)</f>
        <v>#REF!</v>
      </c>
      <c r="AX64" s="987" t="e">
        <f>IF(#REF!="","",#REF!)</f>
        <v>#REF!</v>
      </c>
    </row>
    <row r="65" spans="1:50">
      <c r="A65" s="921" t="str">
        <f>IF(데이터입력!X75="","X",데이터입력!X75)</f>
        <v>국고보조금</v>
      </c>
      <c r="B65" s="719"/>
      <c r="C65" s="921" t="str">
        <f>IF(데이터입력!Z75="","X",데이터입력!Z75)</f>
        <v>시도보조금</v>
      </c>
      <c r="D65" s="719"/>
      <c r="E65" s="921" t="str">
        <f>IF(데이터입력!AB75="","X",데이터입력!AB75)</f>
        <v>기타보조금</v>
      </c>
      <c r="F65" s="1230"/>
      <c r="G65" s="1129" t="s">
        <v>766</v>
      </c>
      <c r="H65" s="1131"/>
      <c r="I65" s="1132"/>
      <c r="K65" s="40"/>
      <c r="L65" s="9"/>
      <c r="M65" s="9"/>
      <c r="N65" s="9"/>
      <c r="O65" s="9" t="str">
        <f>IFERROR(IF(예산업로드양식!E60="","",IF(예산업로드양식!F60="06",예산업로드양식!E60,"")),"")</f>
        <v/>
      </c>
      <c r="P65" s="10" t="str">
        <f>IFERROR(IF(예산업로드양식!H60="","",IF(예산업로드양식!F60="06",예산업로드양식!H60,"")),"")</f>
        <v/>
      </c>
      <c r="Q65" s="10" t="str">
        <f t="shared" si="0"/>
        <v/>
      </c>
      <c r="R65" s="10"/>
      <c r="S65" s="165"/>
      <c r="T65" s="40"/>
      <c r="U65" s="9"/>
      <c r="V65" s="9"/>
      <c r="W65" s="9"/>
      <c r="X65" s="9" t="str">
        <f>IFERROR(IF(예산업로드양식!E60="","",IF(예산업로드양식!F60="07",예산업로드양식!E60,"")),"")</f>
        <v/>
      </c>
      <c r="Y65" s="10" t="str">
        <f>IFERROR(IF(예산업로드양식!H60="","",IF(예산업로드양식!F60="07",예산업로드양식!H60,"")),"")</f>
        <v/>
      </c>
      <c r="Z65" s="10" t="str">
        <f t="shared" si="1"/>
        <v/>
      </c>
      <c r="AA65" s="10"/>
      <c r="AB65" s="165"/>
      <c r="AC65" s="40"/>
      <c r="AD65" s="9"/>
      <c r="AE65" s="9"/>
      <c r="AF65" s="9"/>
      <c r="AG65" s="9" t="str">
        <f>IFERROR(IF(예산업로드양식!E60="","",IF(예산업로드양식!F60="05",예산업로드양식!E60,"")),"")</f>
        <v/>
      </c>
      <c r="AH65" s="10" t="str">
        <f>IFERROR(IF(예산업로드양식!H60="","",IF(예산업로드양식!F60="05",예산업로드양식!H60,"")),"")</f>
        <v/>
      </c>
      <c r="AI65" s="10"/>
      <c r="AJ65" s="10"/>
      <c r="AL65" s="1035" t="e">
        <f>IF(#REF!="","",#REF!)</f>
        <v>#REF!</v>
      </c>
      <c r="AM65" s="1036" t="e">
        <f>IF(#REF!="","",#REF!)</f>
        <v>#REF!</v>
      </c>
      <c r="AN65" s="1037" t="e">
        <f>IF(AND(#REF!="",#REF!=1),"",#REF!)</f>
        <v>#REF!</v>
      </c>
      <c r="AO65" s="1038" t="e">
        <f>IF(#REF!="","",#REF!)</f>
        <v>#REF!</v>
      </c>
      <c r="AP65" s="971" t="e">
        <f>IF(#REF!="","",#REF!)</f>
        <v>#REF!</v>
      </c>
      <c r="AQ65" s="1039" t="e">
        <f>IF(#REF!="","",#REF!)</f>
        <v>#REF!</v>
      </c>
      <c r="AR65" s="973" t="e">
        <f>IF(#REF!="","",#REF!)</f>
        <v>#REF!</v>
      </c>
      <c r="AS65" s="974" t="e">
        <f>IF(#REF!="","",#REF!)</f>
        <v>#REF!</v>
      </c>
      <c r="AT65" s="975" t="e">
        <f>IF(#REF!="","",#REF!)</f>
        <v>#REF!</v>
      </c>
      <c r="AU65" s="976" t="e">
        <f>IF(#REF!="","",#REF!)</f>
        <v>#REF!</v>
      </c>
      <c r="AV65" s="977" t="e">
        <f>IF(#REF!="","",#REF!)</f>
        <v>#REF!</v>
      </c>
      <c r="AW65" s="1040" t="e">
        <f>IF(#REF!="","",#REF!)</f>
        <v>#REF!</v>
      </c>
      <c r="AX65" s="987" t="e">
        <f>IF(#REF!="","",#REF!)</f>
        <v>#REF!</v>
      </c>
    </row>
    <row r="66" spans="1:50">
      <c r="A66" s="723" t="str">
        <f>IF(데이터입력!X76="","X",데이터입력!X76)</f>
        <v>X</v>
      </c>
      <c r="B66" s="724">
        <f>데이터입력!Y76</f>
        <v>0</v>
      </c>
      <c r="C66" s="723" t="str">
        <f>IF(데이터입력!Z76="","X",데이터입력!Z76)</f>
        <v>X</v>
      </c>
      <c r="D66" s="724">
        <f>데이터입력!AA76</f>
        <v>0</v>
      </c>
      <c r="E66" s="723" t="str">
        <f>IF(데이터입력!AB76="","X",데이터입력!AB76)</f>
        <v>X</v>
      </c>
      <c r="F66" s="1231">
        <f>데이터입력!AC76</f>
        <v>0</v>
      </c>
      <c r="G66" s="723" t="str">
        <f>IF(데이터입력!X83="","X",데이터입력!X83)</f>
        <v>X</v>
      </c>
      <c r="H66" s="724">
        <f>데이터입력!Y83</f>
        <v>0</v>
      </c>
      <c r="I66" s="1258">
        <f>IF(G66="X",IF($H$2="추경",데이터입력!$Y$8,1),IF($H$2="추경",데이터입력!Z83,데이터입력!Z83))</f>
        <v>1</v>
      </c>
      <c r="K66" s="41"/>
      <c r="L66" s="11"/>
      <c r="M66" s="11"/>
      <c r="N66" s="11"/>
      <c r="O66" s="11" t="str">
        <f>IFERROR(IF(예산업로드양식!E61="","",IF(예산업로드양식!F61="06",예산업로드양식!E61,"")),"")</f>
        <v/>
      </c>
      <c r="P66" s="12" t="str">
        <f>IFERROR(IF(예산업로드양식!H61="","",IF(예산업로드양식!F61="06",예산업로드양식!H61,"")),"")</f>
        <v/>
      </c>
      <c r="Q66" s="6" t="str">
        <f t="shared" si="0"/>
        <v/>
      </c>
      <c r="R66" s="12"/>
      <c r="S66" s="165"/>
      <c r="T66" s="41"/>
      <c r="U66" s="11"/>
      <c r="V66" s="11"/>
      <c r="W66" s="11"/>
      <c r="X66" s="11" t="str">
        <f>IFERROR(IF(예산업로드양식!E61="","",IF(예산업로드양식!F61="07",예산업로드양식!E61,"")),"")</f>
        <v/>
      </c>
      <c r="Y66" s="12" t="str">
        <f>IFERROR(IF(예산업로드양식!H61="","",IF(예산업로드양식!F61="07",예산업로드양식!H61,"")),"")</f>
        <v/>
      </c>
      <c r="Z66" s="6" t="str">
        <f t="shared" si="1"/>
        <v/>
      </c>
      <c r="AA66" s="12"/>
      <c r="AB66" s="165"/>
      <c r="AC66" s="41"/>
      <c r="AD66" s="11"/>
      <c r="AE66" s="11"/>
      <c r="AF66" s="11"/>
      <c r="AG66" s="11" t="str">
        <f>IFERROR(IF(예산업로드양식!E61="","",IF(예산업로드양식!F61="05",예산업로드양식!E61,"")),"")</f>
        <v/>
      </c>
      <c r="AH66" s="12" t="str">
        <f>IFERROR(IF(예산업로드양식!H61="","",IF(예산업로드양식!F61="05",예산업로드양식!H61,"")),"")</f>
        <v/>
      </c>
      <c r="AI66" s="12"/>
      <c r="AJ66" s="12"/>
      <c r="AL66" s="1035" t="e">
        <f>IF(#REF!="","",#REF!)</f>
        <v>#REF!</v>
      </c>
      <c r="AM66" s="1036" t="e">
        <f>IF(#REF!="","",#REF!)</f>
        <v>#REF!</v>
      </c>
      <c r="AN66" s="1037" t="e">
        <f>IF(AND(#REF!="",#REF!=1),"",#REF!)</f>
        <v>#REF!</v>
      </c>
      <c r="AO66" s="1038" t="e">
        <f>IF(#REF!="","",#REF!)</f>
        <v>#REF!</v>
      </c>
      <c r="AP66" s="971" t="e">
        <f>IF(#REF!="","",#REF!)</f>
        <v>#REF!</v>
      </c>
      <c r="AQ66" s="1039" t="e">
        <f>IF(#REF!="","",#REF!)</f>
        <v>#REF!</v>
      </c>
      <c r="AR66" s="973" t="e">
        <f>IF(#REF!="","",#REF!)</f>
        <v>#REF!</v>
      </c>
      <c r="AS66" s="974" t="e">
        <f>IF(#REF!="","",#REF!)</f>
        <v>#REF!</v>
      </c>
      <c r="AT66" s="975" t="e">
        <f>IF(#REF!="","",#REF!)</f>
        <v>#REF!</v>
      </c>
      <c r="AU66" s="976" t="e">
        <f>IF(#REF!="","",#REF!)</f>
        <v>#REF!</v>
      </c>
      <c r="AV66" s="977" t="e">
        <f>IF(#REF!="","",#REF!)</f>
        <v>#REF!</v>
      </c>
      <c r="AW66" s="1040" t="e">
        <f>IF(#REF!="","",#REF!)</f>
        <v>#REF!</v>
      </c>
      <c r="AX66" s="987" t="e">
        <f>IF(#REF!="","",#REF!)</f>
        <v>#REF!</v>
      </c>
    </row>
    <row r="67" spans="1:50" ht="17.25" thickBot="1">
      <c r="A67" s="725" t="str">
        <f>IF(데이터입력!X77="","X",데이터입력!X77)</f>
        <v>X</v>
      </c>
      <c r="B67" s="726">
        <f>데이터입력!Y77</f>
        <v>0</v>
      </c>
      <c r="C67" s="725" t="str">
        <f>IF(데이터입력!Z77="","X",데이터입력!Z77)</f>
        <v>X</v>
      </c>
      <c r="D67" s="726">
        <f>데이터입력!AA77</f>
        <v>0</v>
      </c>
      <c r="E67" s="725" t="str">
        <f>IF(데이터입력!AB77="","X",데이터입력!AB77)</f>
        <v>X</v>
      </c>
      <c r="F67" s="727">
        <f>데이터입력!AC77</f>
        <v>0</v>
      </c>
      <c r="G67" s="723" t="str">
        <f>IF(데이터입력!X84="","X",데이터입력!X84)</f>
        <v>X</v>
      </c>
      <c r="H67" s="724">
        <f>데이터입력!Y84</f>
        <v>0</v>
      </c>
      <c r="I67" s="1258">
        <f>IF(G67="X",IF($H$2="추경",데이터입력!$Y$8,1),IF($H$2="추경",데이터입력!Z84,데이터입력!Z84))</f>
        <v>1</v>
      </c>
      <c r="K67" s="40"/>
      <c r="L67" s="9"/>
      <c r="M67" s="9"/>
      <c r="N67" s="9"/>
      <c r="O67" s="9" t="str">
        <f>IFERROR(IF(예산업로드양식!E62="","",IF(예산업로드양식!F62="06",예산업로드양식!E62,"")),"")</f>
        <v/>
      </c>
      <c r="P67" s="10" t="str">
        <f>IFERROR(IF(예산업로드양식!H62="","",IF(예산업로드양식!F62="06",예산업로드양식!H62,"")),"")</f>
        <v/>
      </c>
      <c r="Q67" s="10" t="str">
        <f t="shared" si="0"/>
        <v/>
      </c>
      <c r="R67" s="10"/>
      <c r="S67" s="165"/>
      <c r="T67" s="40"/>
      <c r="U67" s="9"/>
      <c r="V67" s="9"/>
      <c r="W67" s="9"/>
      <c r="X67" s="9" t="str">
        <f>IFERROR(IF(예산업로드양식!E62="","",IF(예산업로드양식!F62="07",예산업로드양식!E62,"")),"")</f>
        <v/>
      </c>
      <c r="Y67" s="10" t="str">
        <f>IFERROR(IF(예산업로드양식!H62="","",IF(예산업로드양식!F62="07",예산업로드양식!H62,"")),"")</f>
        <v/>
      </c>
      <c r="Z67" s="10" t="str">
        <f t="shared" si="1"/>
        <v/>
      </c>
      <c r="AA67" s="10"/>
      <c r="AB67" s="165"/>
      <c r="AC67" s="40"/>
      <c r="AD67" s="9"/>
      <c r="AE67" s="9"/>
      <c r="AF67" s="9"/>
      <c r="AG67" s="9" t="str">
        <f>IFERROR(IF(예산업로드양식!E62="","",IF(예산업로드양식!F62="05",예산업로드양식!E62,"")),"")</f>
        <v/>
      </c>
      <c r="AH67" s="10" t="str">
        <f>IFERROR(IF(예산업로드양식!H62="","",IF(예산업로드양식!F62="05",예산업로드양식!H62,"")),"")</f>
        <v/>
      </c>
      <c r="AI67" s="10"/>
      <c r="AJ67" s="10"/>
      <c r="AL67" s="1035" t="e">
        <f>IF(#REF!="","",#REF!)</f>
        <v>#REF!</v>
      </c>
      <c r="AM67" s="1036" t="e">
        <f>IF(#REF!="","",#REF!)</f>
        <v>#REF!</v>
      </c>
      <c r="AN67" s="1037" t="e">
        <f>IF(AND(#REF!="",#REF!=1),"",#REF!)</f>
        <v>#REF!</v>
      </c>
      <c r="AO67" s="1038" t="e">
        <f>IF(#REF!="","",#REF!)</f>
        <v>#REF!</v>
      </c>
      <c r="AP67" s="971" t="e">
        <f>IF(#REF!="","",#REF!)</f>
        <v>#REF!</v>
      </c>
      <c r="AQ67" s="1039" t="e">
        <f>IF(#REF!="","",#REF!)</f>
        <v>#REF!</v>
      </c>
      <c r="AR67" s="973" t="e">
        <f>IF(#REF!="","",#REF!)</f>
        <v>#REF!</v>
      </c>
      <c r="AS67" s="974" t="e">
        <f>IF(#REF!="","",#REF!)</f>
        <v>#REF!</v>
      </c>
      <c r="AT67" s="975" t="e">
        <f>IF(#REF!="","",#REF!)</f>
        <v>#REF!</v>
      </c>
      <c r="AU67" s="976" t="e">
        <f>IF(#REF!="","",#REF!)</f>
        <v>#REF!</v>
      </c>
      <c r="AV67" s="977" t="e">
        <f>IF(#REF!="","",#REF!)</f>
        <v>#REF!</v>
      </c>
      <c r="AW67" s="1040" t="e">
        <f>IF(#REF!="","",#REF!)</f>
        <v>#REF!</v>
      </c>
      <c r="AX67" s="987" t="e">
        <f>IF(#REF!="","",#REF!)</f>
        <v>#REF!</v>
      </c>
    </row>
    <row r="68" spans="1:50" ht="17.25" thickBot="1">
      <c r="A68" s="729"/>
      <c r="B68" s="730"/>
      <c r="C68" s="730"/>
      <c r="D68" s="730"/>
      <c r="E68" s="730"/>
      <c r="F68" s="730"/>
      <c r="G68" s="723" t="str">
        <f>IF(데이터입력!X85="","X",데이터입력!X85)</f>
        <v>X</v>
      </c>
      <c r="H68" s="724">
        <f>데이터입력!Y85</f>
        <v>0</v>
      </c>
      <c r="I68" s="1258">
        <f>IF(G68="X",IF($H$2="추경",데이터입력!$Y$8,1),IF($H$2="추경",데이터입력!Z85,데이터입력!Z85))</f>
        <v>1</v>
      </c>
      <c r="K68" s="41"/>
      <c r="L68" s="11"/>
      <c r="M68" s="11"/>
      <c r="N68" s="11"/>
      <c r="O68" s="11" t="str">
        <f>IFERROR(IF(예산업로드양식!E63="","",IF(예산업로드양식!F63="06",예산업로드양식!E63,"")),"")</f>
        <v/>
      </c>
      <c r="P68" s="12" t="str">
        <f>IFERROR(IF(예산업로드양식!H63="","",IF(예산업로드양식!F63="06",예산업로드양식!H63,"")),"")</f>
        <v/>
      </c>
      <c r="Q68" s="6" t="str">
        <f t="shared" si="0"/>
        <v/>
      </c>
      <c r="R68" s="12"/>
      <c r="S68" s="165"/>
      <c r="T68" s="41"/>
      <c r="U68" s="11"/>
      <c r="V68" s="11"/>
      <c r="W68" s="11"/>
      <c r="X68" s="11" t="str">
        <f>IFERROR(IF(예산업로드양식!E63="","",IF(예산업로드양식!F63="07",예산업로드양식!E63,"")),"")</f>
        <v/>
      </c>
      <c r="Y68" s="12" t="str">
        <f>IFERROR(IF(예산업로드양식!H63="","",IF(예산업로드양식!F63="07",예산업로드양식!H63,"")),"")</f>
        <v/>
      </c>
      <c r="Z68" s="6" t="str">
        <f t="shared" si="1"/>
        <v/>
      </c>
      <c r="AA68" s="12"/>
      <c r="AB68" s="165"/>
      <c r="AC68" s="41"/>
      <c r="AD68" s="11"/>
      <c r="AE68" s="11"/>
      <c r="AF68" s="11"/>
      <c r="AG68" s="11" t="str">
        <f>IFERROR(IF(예산업로드양식!E63="","",IF(예산업로드양식!F63="05",예산업로드양식!E63,"")),"")</f>
        <v/>
      </c>
      <c r="AH68" s="12" t="str">
        <f>IFERROR(IF(예산업로드양식!H63="","",IF(예산업로드양식!F63="05",예산업로드양식!H63,"")),"")</f>
        <v/>
      </c>
      <c r="AI68" s="12"/>
      <c r="AJ68" s="12"/>
      <c r="AL68" s="1035" t="e">
        <f>IF(#REF!="","",#REF!)</f>
        <v>#REF!</v>
      </c>
      <c r="AM68" s="1036" t="e">
        <f>IF(#REF!="","",#REF!)</f>
        <v>#REF!</v>
      </c>
      <c r="AN68" s="1037" t="e">
        <f>IF(AND(#REF!="",#REF!=1),"",#REF!)</f>
        <v>#REF!</v>
      </c>
      <c r="AO68" s="1038" t="e">
        <f>IF(#REF!="","",#REF!)</f>
        <v>#REF!</v>
      </c>
      <c r="AP68" s="971" t="e">
        <f>IF(#REF!="","",#REF!)</f>
        <v>#REF!</v>
      </c>
      <c r="AQ68" s="1039" t="e">
        <f>IF(#REF!="","",#REF!)</f>
        <v>#REF!</v>
      </c>
      <c r="AR68" s="973" t="e">
        <f>IF(#REF!="","",#REF!)</f>
        <v>#REF!</v>
      </c>
      <c r="AS68" s="974" t="e">
        <f>IF(#REF!="","",#REF!)</f>
        <v>#REF!</v>
      </c>
      <c r="AT68" s="975" t="e">
        <f>IF(#REF!="","",#REF!)</f>
        <v>#REF!</v>
      </c>
      <c r="AU68" s="976" t="e">
        <f>IF(#REF!="","",#REF!)</f>
        <v>#REF!</v>
      </c>
      <c r="AV68" s="977" t="e">
        <f>IF(#REF!="","",#REF!)</f>
        <v>#REF!</v>
      </c>
      <c r="AW68" s="1040" t="e">
        <f>IF(#REF!="","",#REF!)</f>
        <v>#REF!</v>
      </c>
      <c r="AX68" s="987" t="e">
        <f>IF(#REF!="","",#REF!)</f>
        <v>#REF!</v>
      </c>
    </row>
    <row r="69" spans="1:50" ht="17.25" thickBot="1">
      <c r="A69" s="734" t="s">
        <v>123</v>
      </c>
      <c r="B69" s="735"/>
      <c r="C69" s="736"/>
      <c r="D69" s="713" t="s">
        <v>371</v>
      </c>
      <c r="E69" s="714"/>
      <c r="F69" s="715"/>
      <c r="G69" s="1242" t="s">
        <v>813</v>
      </c>
      <c r="H69" s="1243"/>
      <c r="I69" s="1244"/>
      <c r="K69" s="40"/>
      <c r="L69" s="9"/>
      <c r="M69" s="9"/>
      <c r="N69" s="9"/>
      <c r="O69" s="9" t="str">
        <f>IFERROR(IF(예산업로드양식!E64="","",IF(예산업로드양식!F64="06",예산업로드양식!E64,"")),"")</f>
        <v/>
      </c>
      <c r="P69" s="10" t="str">
        <f>IFERROR(IF(예산업로드양식!H64="","",IF(예산업로드양식!F64="06",예산업로드양식!H64,"")),"")</f>
        <v/>
      </c>
      <c r="Q69" s="10" t="str">
        <f t="shared" si="0"/>
        <v/>
      </c>
      <c r="R69" s="10"/>
      <c r="S69" s="165"/>
      <c r="T69" s="40"/>
      <c r="U69" s="9"/>
      <c r="V69" s="9"/>
      <c r="W69" s="9"/>
      <c r="X69" s="9" t="str">
        <f>IFERROR(IF(예산업로드양식!E64="","",IF(예산업로드양식!F64="07",예산업로드양식!E64,"")),"")</f>
        <v/>
      </c>
      <c r="Y69" s="10" t="str">
        <f>IFERROR(IF(예산업로드양식!H64="","",IF(예산업로드양식!F64="07",예산업로드양식!H64,"")),"")</f>
        <v/>
      </c>
      <c r="Z69" s="10" t="str">
        <f t="shared" si="1"/>
        <v/>
      </c>
      <c r="AA69" s="10"/>
      <c r="AB69" s="165"/>
      <c r="AC69" s="40"/>
      <c r="AD69" s="9"/>
      <c r="AE69" s="9"/>
      <c r="AF69" s="9"/>
      <c r="AG69" s="9" t="str">
        <f>IFERROR(IF(예산업로드양식!E64="","",IF(예산업로드양식!F64="05",예산업로드양식!E64,"")),"")</f>
        <v/>
      </c>
      <c r="AH69" s="10" t="str">
        <f>IFERROR(IF(예산업로드양식!H64="","",IF(예산업로드양식!F64="05",예산업로드양식!H64,"")),"")</f>
        <v/>
      </c>
      <c r="AI69" s="10"/>
      <c r="AJ69" s="10"/>
      <c r="AL69" s="1035" t="e">
        <f>IF(#REF!="","",#REF!)</f>
        <v>#REF!</v>
      </c>
      <c r="AM69" s="1036" t="e">
        <f>IF(#REF!="","",#REF!)</f>
        <v>#REF!</v>
      </c>
      <c r="AN69" s="1037" t="e">
        <f>IF(AND(#REF!="",#REF!=1),"",#REF!)</f>
        <v>#REF!</v>
      </c>
      <c r="AO69" s="1038" t="e">
        <f>IF(#REF!="","",#REF!)</f>
        <v>#REF!</v>
      </c>
      <c r="AP69" s="971" t="e">
        <f>IF(#REF!="","",#REF!)</f>
        <v>#REF!</v>
      </c>
      <c r="AQ69" s="1039" t="e">
        <f>IF(#REF!="","",#REF!)</f>
        <v>#REF!</v>
      </c>
      <c r="AR69" s="973" t="e">
        <f>IF(#REF!="","",#REF!)</f>
        <v>#REF!</v>
      </c>
      <c r="AS69" s="974" t="e">
        <f>IF(#REF!="","",#REF!)</f>
        <v>#REF!</v>
      </c>
      <c r="AT69" s="975" t="e">
        <f>IF(#REF!="","",#REF!)</f>
        <v>#REF!</v>
      </c>
      <c r="AU69" s="976" t="e">
        <f>IF(#REF!="","",#REF!)</f>
        <v>#REF!</v>
      </c>
      <c r="AV69" s="977" t="e">
        <f>IF(#REF!="","",#REF!)</f>
        <v>#REF!</v>
      </c>
      <c r="AW69" s="1040" t="e">
        <f>IF(#REF!="","",#REF!)</f>
        <v>#REF!</v>
      </c>
      <c r="AX69" s="987" t="e">
        <f>IF(#REF!="","",#REF!)</f>
        <v>#REF!</v>
      </c>
    </row>
    <row r="70" spans="1:50" ht="17.25" thickBot="1">
      <c r="A70" s="697" t="s">
        <v>444</v>
      </c>
      <c r="B70" s="737">
        <f>데이터입력!AB80</f>
        <v>0.3</v>
      </c>
      <c r="C70" s="738"/>
      <c r="D70" s="694" t="s">
        <v>372</v>
      </c>
      <c r="E70" s="693"/>
      <c r="F70" s="693" t="s">
        <v>214</v>
      </c>
      <c r="G70" s="345" t="s">
        <v>814</v>
      </c>
      <c r="H70" s="748">
        <v>0</v>
      </c>
      <c r="I70" s="418" t="s">
        <v>660</v>
      </c>
      <c r="K70" s="41"/>
      <c r="L70" s="11"/>
      <c r="M70" s="11"/>
      <c r="N70" s="11"/>
      <c r="O70" s="11" t="str">
        <f>IFERROR(IF(예산업로드양식!E65="","",IF(예산업로드양식!F65="06",예산업로드양식!E65,"")),"")</f>
        <v/>
      </c>
      <c r="P70" s="12" t="str">
        <f>IFERROR(IF(예산업로드양식!H65="","",IF(예산업로드양식!F65="06",예산업로드양식!H65,"")),"")</f>
        <v/>
      </c>
      <c r="Q70" s="6" t="str">
        <f t="shared" si="0"/>
        <v/>
      </c>
      <c r="R70" s="12"/>
      <c r="S70" s="165"/>
      <c r="T70" s="41"/>
      <c r="U70" s="11"/>
      <c r="V70" s="11"/>
      <c r="W70" s="11"/>
      <c r="X70" s="11" t="str">
        <f>IFERROR(IF(예산업로드양식!E65="","",IF(예산업로드양식!F65="07",예산업로드양식!E65,"")),"")</f>
        <v/>
      </c>
      <c r="Y70" s="12" t="str">
        <f>IFERROR(IF(예산업로드양식!H65="","",IF(예산업로드양식!F65="07",예산업로드양식!H65,"")),"")</f>
        <v/>
      </c>
      <c r="Z70" s="6" t="str">
        <f t="shared" si="1"/>
        <v/>
      </c>
      <c r="AA70" s="12"/>
      <c r="AB70" s="165"/>
      <c r="AC70" s="41"/>
      <c r="AD70" s="11"/>
      <c r="AE70" s="11"/>
      <c r="AF70" s="11"/>
      <c r="AG70" s="11" t="str">
        <f>IFERROR(IF(예산업로드양식!E65="","",IF(예산업로드양식!F65="05",예산업로드양식!E65,"")),"")</f>
        <v/>
      </c>
      <c r="AH70" s="12" t="str">
        <f>IFERROR(IF(예산업로드양식!H65="","",IF(예산업로드양식!F65="05",예산업로드양식!H65,"")),"")</f>
        <v/>
      </c>
      <c r="AI70" s="12"/>
      <c r="AJ70" s="12"/>
      <c r="AL70" s="1035" t="e">
        <f>IF(#REF!="","",#REF!)</f>
        <v>#REF!</v>
      </c>
      <c r="AM70" s="1036" t="e">
        <f>IF(#REF!="","",#REF!)</f>
        <v>#REF!</v>
      </c>
      <c r="AN70" s="1037" t="e">
        <f>IF(AND(#REF!="",#REF!=1),"",#REF!)</f>
        <v>#REF!</v>
      </c>
      <c r="AO70" s="1038" t="e">
        <f>IF(#REF!="","",#REF!)</f>
        <v>#REF!</v>
      </c>
      <c r="AP70" s="971" t="e">
        <f>IF(#REF!="","",#REF!)</f>
        <v>#REF!</v>
      </c>
      <c r="AQ70" s="1039" t="e">
        <f>IF(#REF!="","",#REF!)</f>
        <v>#REF!</v>
      </c>
      <c r="AR70" s="973" t="e">
        <f>IF(#REF!="","",#REF!)</f>
        <v>#REF!</v>
      </c>
      <c r="AS70" s="974" t="e">
        <f>IF(#REF!="","",#REF!)</f>
        <v>#REF!</v>
      </c>
      <c r="AT70" s="975" t="e">
        <f>IF(#REF!="","",#REF!)</f>
        <v>#REF!</v>
      </c>
      <c r="AU70" s="976" t="e">
        <f>IF(#REF!="","",#REF!)</f>
        <v>#REF!</v>
      </c>
      <c r="AV70" s="977" t="e">
        <f>IF(#REF!="","",#REF!)</f>
        <v>#REF!</v>
      </c>
      <c r="AW70" s="1040" t="e">
        <f>IF(#REF!="","",#REF!)</f>
        <v>#REF!</v>
      </c>
      <c r="AX70" s="987" t="e">
        <f>IF(#REF!="","",#REF!)</f>
        <v>#REF!</v>
      </c>
    </row>
    <row r="71" spans="1:50">
      <c r="A71" s="918" t="str">
        <f>IF(데이터입력!AA81="","X",데이터입력!AA81)</f>
        <v>대여용구취득비</v>
      </c>
      <c r="B71" s="739"/>
      <c r="C71" s="740"/>
      <c r="D71" s="920" t="str">
        <f>IF(데이터입력!AD81="","X",데이터입력!AD81)</f>
        <v>지정후원금</v>
      </c>
      <c r="E71" s="719"/>
      <c r="F71" s="922">
        <f>IF(D71="X",IF($H$2="추경",데이터입력!$Y$8,12),IF($H$2="추경",데이터입력!AF81,12))</f>
        <v>12</v>
      </c>
      <c r="G71" s="911" t="s">
        <v>814</v>
      </c>
      <c r="H71" s="757">
        <v>0</v>
      </c>
      <c r="I71" s="919">
        <f>IF(G71="X",IF($H$2="추경",데이터입력!$Y$8,12),IF($H$2="추경",데이터입력!AF74,12))</f>
        <v>12</v>
      </c>
      <c r="K71" s="40"/>
      <c r="L71" s="9"/>
      <c r="M71" s="9"/>
      <c r="N71" s="9"/>
      <c r="O71" s="9" t="str">
        <f>IFERROR(IF(예산업로드양식!E66="","",IF(예산업로드양식!F66="06",예산업로드양식!E66,"")),"")</f>
        <v/>
      </c>
      <c r="P71" s="10" t="str">
        <f>IFERROR(IF(예산업로드양식!H66="","",IF(예산업로드양식!F66="06",예산업로드양식!H66,"")),"")</f>
        <v/>
      </c>
      <c r="Q71" s="10" t="str">
        <f t="shared" si="0"/>
        <v/>
      </c>
      <c r="R71" s="10"/>
      <c r="S71" s="165"/>
      <c r="T71" s="40"/>
      <c r="U71" s="9"/>
      <c r="V71" s="9"/>
      <c r="W71" s="9"/>
      <c r="X71" s="9" t="str">
        <f>IFERROR(IF(예산업로드양식!E66="","",IF(예산업로드양식!F66="07",예산업로드양식!E66,"")),"")</f>
        <v/>
      </c>
      <c r="Y71" s="10" t="str">
        <f>IFERROR(IF(예산업로드양식!H66="","",IF(예산업로드양식!F66="07",예산업로드양식!H66,"")),"")</f>
        <v/>
      </c>
      <c r="Z71" s="10" t="str">
        <f t="shared" si="1"/>
        <v/>
      </c>
      <c r="AA71" s="10"/>
      <c r="AB71" s="165"/>
      <c r="AC71" s="40"/>
      <c r="AD71" s="9"/>
      <c r="AE71" s="9"/>
      <c r="AF71" s="9"/>
      <c r="AG71" s="9" t="str">
        <f>IFERROR(IF(예산업로드양식!E66="","",IF(예산업로드양식!F66="05",예산업로드양식!E66,"")),"")</f>
        <v/>
      </c>
      <c r="AH71" s="10" t="str">
        <f>IFERROR(IF(예산업로드양식!H66="","",IF(예산업로드양식!F66="05",예산업로드양식!H66,"")),"")</f>
        <v/>
      </c>
      <c r="AI71" s="10"/>
      <c r="AJ71" s="10"/>
      <c r="AL71" s="1035" t="e">
        <f>IF(#REF!="","",#REF!)</f>
        <v>#REF!</v>
      </c>
      <c r="AM71" s="1036" t="e">
        <f>IF(#REF!="","",#REF!)</f>
        <v>#REF!</v>
      </c>
      <c r="AN71" s="1037" t="e">
        <f>IF(AND(#REF!="",#REF!=1),"",#REF!)</f>
        <v>#REF!</v>
      </c>
      <c r="AO71" s="1038" t="e">
        <f>IF(#REF!="","",#REF!)</f>
        <v>#REF!</v>
      </c>
      <c r="AP71" s="971" t="e">
        <f>IF(#REF!="","",#REF!)</f>
        <v>#REF!</v>
      </c>
      <c r="AQ71" s="1039" t="e">
        <f>IF(#REF!="","",#REF!)</f>
        <v>#REF!</v>
      </c>
      <c r="AR71" s="973" t="e">
        <f>IF(#REF!="","",#REF!)</f>
        <v>#REF!</v>
      </c>
      <c r="AS71" s="974" t="e">
        <f>IF(#REF!="","",#REF!)</f>
        <v>#REF!</v>
      </c>
      <c r="AT71" s="975" t="e">
        <f>IF(#REF!="","",#REF!)</f>
        <v>#REF!</v>
      </c>
      <c r="AU71" s="976" t="e">
        <f>IF(#REF!="","",#REF!)</f>
        <v>#REF!</v>
      </c>
      <c r="AV71" s="977" t="e">
        <f>IF(#REF!="","",#REF!)</f>
        <v>#REF!</v>
      </c>
      <c r="AW71" s="1040" t="e">
        <f>IF(#REF!="","",#REF!)</f>
        <v>#REF!</v>
      </c>
      <c r="AX71" s="987" t="e">
        <f>IF(#REF!="","",#REF!)</f>
        <v>#REF!</v>
      </c>
    </row>
    <row r="72" spans="1:50" ht="17.25" thickBot="1">
      <c r="A72" s="689" t="str">
        <f>IF(데이터입력!AA82="","X",데이터입력!AA82)</f>
        <v>X</v>
      </c>
      <c r="B72" s="741">
        <f>데이터입력!AB82</f>
        <v>0</v>
      </c>
      <c r="C72" s="742"/>
      <c r="D72" s="721" t="str">
        <f>IF(데이터입력!AD82="","X",데이터입력!AD82)</f>
        <v>X</v>
      </c>
      <c r="E72" s="722">
        <f>데이터입력!AE82</f>
        <v>0</v>
      </c>
      <c r="F72" s="922">
        <f>IF(D72="X",IF($H$2="추경",데이터입력!$Y$8,1),IF($H$2="추경",데이터입력!AF82,데이터입력!AF82))</f>
        <v>1</v>
      </c>
      <c r="G72" s="934" t="str">
        <f>IF(데이터입력!AD75="","X",데이터입력!AD75)</f>
        <v>X</v>
      </c>
      <c r="H72" s="690">
        <f>데이터입력!AE75</f>
        <v>0</v>
      </c>
      <c r="I72" s="919">
        <f>IF(G72="X",IF($H$2="추경",데이터입력!$Y$8,1),IF($H$2="추경",데이터입력!AF75,데이터입력!AF75))</f>
        <v>1</v>
      </c>
      <c r="K72" s="41"/>
      <c r="L72" s="11"/>
      <c r="M72" s="11"/>
      <c r="N72" s="11"/>
      <c r="O72" s="11" t="str">
        <f>IFERROR(IF(예산업로드양식!E67="","",IF(예산업로드양식!F67="06",예산업로드양식!E67,"")),"")</f>
        <v/>
      </c>
      <c r="P72" s="12" t="str">
        <f>IFERROR(IF(예산업로드양식!H67="","",IF(예산업로드양식!F67="06",예산업로드양식!H67,"")),"")</f>
        <v/>
      </c>
      <c r="Q72" s="6" t="str">
        <f t="shared" si="0"/>
        <v/>
      </c>
      <c r="R72" s="12"/>
      <c r="S72" s="165"/>
      <c r="T72" s="41"/>
      <c r="U72" s="11"/>
      <c r="V72" s="11"/>
      <c r="W72" s="11"/>
      <c r="X72" s="11" t="str">
        <f>IFERROR(IF(예산업로드양식!E67="","",IF(예산업로드양식!F67="07",예산업로드양식!E67,"")),"")</f>
        <v/>
      </c>
      <c r="Y72" s="12" t="str">
        <f>IFERROR(IF(예산업로드양식!H67="","",IF(예산업로드양식!F67="07",예산업로드양식!H67,"")),"")</f>
        <v/>
      </c>
      <c r="Z72" s="6" t="str">
        <f t="shared" si="1"/>
        <v/>
      </c>
      <c r="AA72" s="12"/>
      <c r="AB72" s="165"/>
      <c r="AC72" s="41"/>
      <c r="AD72" s="11"/>
      <c r="AE72" s="11"/>
      <c r="AF72" s="11"/>
      <c r="AG72" s="11" t="str">
        <f>IFERROR(IF(예산업로드양식!E67="","",IF(예산업로드양식!F67="05",예산업로드양식!E67,"")),"")</f>
        <v/>
      </c>
      <c r="AH72" s="12" t="str">
        <f>IFERROR(IF(예산업로드양식!H67="","",IF(예산업로드양식!F67="05",예산업로드양식!H67,"")),"")</f>
        <v/>
      </c>
      <c r="AI72" s="12"/>
      <c r="AJ72" s="12"/>
      <c r="AL72" s="1035" t="e">
        <f>IF(#REF!="","",#REF!)</f>
        <v>#REF!</v>
      </c>
      <c r="AM72" s="1036" t="e">
        <f>IF(#REF!="","",#REF!)</f>
        <v>#REF!</v>
      </c>
      <c r="AN72" s="1037" t="e">
        <f>IF(AND(#REF!="",#REF!=1),"",#REF!)</f>
        <v>#REF!</v>
      </c>
      <c r="AO72" s="1038" t="e">
        <f>IF(#REF!="","",#REF!)</f>
        <v>#REF!</v>
      </c>
      <c r="AP72" s="971" t="e">
        <f>IF(#REF!="","",#REF!)</f>
        <v>#REF!</v>
      </c>
      <c r="AQ72" s="1039" t="e">
        <f>IF(#REF!="","",#REF!)</f>
        <v>#REF!</v>
      </c>
      <c r="AR72" s="973" t="e">
        <f>IF(#REF!="","",#REF!)</f>
        <v>#REF!</v>
      </c>
      <c r="AS72" s="974" t="e">
        <f>IF(#REF!="","",#REF!)</f>
        <v>#REF!</v>
      </c>
      <c r="AT72" s="975" t="e">
        <f>IF(#REF!="","",#REF!)</f>
        <v>#REF!</v>
      </c>
      <c r="AU72" s="976" t="e">
        <f>IF(#REF!="","",#REF!)</f>
        <v>#REF!</v>
      </c>
      <c r="AV72" s="977" t="e">
        <f>IF(#REF!="","",#REF!)</f>
        <v>#REF!</v>
      </c>
      <c r="AW72" s="1040" t="e">
        <f>IF(#REF!="","",#REF!)</f>
        <v>#REF!</v>
      </c>
      <c r="AX72" s="987" t="e">
        <f>IF(#REF!="","",#REF!)</f>
        <v>#REF!</v>
      </c>
    </row>
    <row r="73" spans="1:50" ht="17.25" thickBot="1">
      <c r="A73" s="697" t="s">
        <v>443</v>
      </c>
      <c r="B73" s="737">
        <f>데이터입력!AB83</f>
        <v>0.4</v>
      </c>
      <c r="C73" s="738"/>
      <c r="D73" s="692" t="s">
        <v>373</v>
      </c>
      <c r="E73" s="693"/>
      <c r="F73" s="693" t="s">
        <v>214</v>
      </c>
      <c r="G73" s="345" t="s">
        <v>815</v>
      </c>
      <c r="H73" s="748">
        <v>0</v>
      </c>
      <c r="I73" s="418" t="s">
        <v>660</v>
      </c>
      <c r="K73" s="40"/>
      <c r="L73" s="9"/>
      <c r="M73" s="9"/>
      <c r="N73" s="9"/>
      <c r="O73" s="9" t="str">
        <f>IFERROR(IF(예산업로드양식!E68="","",IF(예산업로드양식!F68="06",예산업로드양식!E68,"")),"")</f>
        <v/>
      </c>
      <c r="P73" s="10" t="str">
        <f>IFERROR(IF(예산업로드양식!H68="","",IF(예산업로드양식!F68="06",예산업로드양식!H68,"")),"")</f>
        <v/>
      </c>
      <c r="Q73" s="10" t="str">
        <f t="shared" si="0"/>
        <v/>
      </c>
      <c r="R73" s="10"/>
      <c r="S73" s="165"/>
      <c r="T73" s="40"/>
      <c r="U73" s="9"/>
      <c r="V73" s="9"/>
      <c r="W73" s="9"/>
      <c r="X73" s="9" t="str">
        <f>IFERROR(IF(예산업로드양식!E68="","",IF(예산업로드양식!F68="07",예산업로드양식!E68,"")),"")</f>
        <v/>
      </c>
      <c r="Y73" s="10" t="str">
        <f>IFERROR(IF(예산업로드양식!H68="","",IF(예산업로드양식!F68="07",예산업로드양식!H68,"")),"")</f>
        <v/>
      </c>
      <c r="Z73" s="10" t="str">
        <f t="shared" si="1"/>
        <v/>
      </c>
      <c r="AA73" s="10"/>
      <c r="AB73" s="165"/>
      <c r="AC73" s="40"/>
      <c r="AD73" s="9"/>
      <c r="AE73" s="9"/>
      <c r="AF73" s="9"/>
      <c r="AG73" s="9" t="str">
        <f>IFERROR(IF(예산업로드양식!E68="","",IF(예산업로드양식!F68="05",예산업로드양식!E68,"")),"")</f>
        <v/>
      </c>
      <c r="AH73" s="10" t="str">
        <f>IFERROR(IF(예산업로드양식!H68="","",IF(예산업로드양식!F68="05",예산업로드양식!H68,"")),"")</f>
        <v/>
      </c>
      <c r="AI73" s="10"/>
      <c r="AJ73" s="10"/>
      <c r="AL73" s="1035" t="e">
        <f>IF(#REF!="","",#REF!)</f>
        <v>#REF!</v>
      </c>
      <c r="AM73" s="1036" t="e">
        <f>IF(#REF!="","",#REF!)</f>
        <v>#REF!</v>
      </c>
      <c r="AN73" s="1037" t="e">
        <f>IF(AND(#REF!="",#REF!=1),"",#REF!)</f>
        <v>#REF!</v>
      </c>
      <c r="AO73" s="1038" t="e">
        <f>IF(#REF!="","",#REF!)</f>
        <v>#REF!</v>
      </c>
      <c r="AP73" s="971" t="e">
        <f>IF(#REF!="","",#REF!)</f>
        <v>#REF!</v>
      </c>
      <c r="AQ73" s="1039" t="e">
        <f>IF(#REF!="","",#REF!)</f>
        <v>#REF!</v>
      </c>
      <c r="AR73" s="973" t="e">
        <f>IF(#REF!="","",#REF!)</f>
        <v>#REF!</v>
      </c>
      <c r="AS73" s="974" t="e">
        <f>IF(#REF!="","",#REF!)</f>
        <v>#REF!</v>
      </c>
      <c r="AT73" s="975" t="e">
        <f>IF(#REF!="","",#REF!)</f>
        <v>#REF!</v>
      </c>
      <c r="AU73" s="976" t="e">
        <f>IF(#REF!="","",#REF!)</f>
        <v>#REF!</v>
      </c>
      <c r="AV73" s="977" t="e">
        <f>IF(#REF!="","",#REF!)</f>
        <v>#REF!</v>
      </c>
      <c r="AW73" s="1040" t="e">
        <f>IF(#REF!="","",#REF!)</f>
        <v>#REF!</v>
      </c>
      <c r="AX73" s="987" t="e">
        <f>IF(#REF!="","",#REF!)</f>
        <v>#REF!</v>
      </c>
    </row>
    <row r="74" spans="1:50">
      <c r="A74" s="924" t="str">
        <f>IF(데이터입력!AA84="","X",데이터입력!AA84)</f>
        <v>판매용구취득비</v>
      </c>
      <c r="B74" s="739"/>
      <c r="C74" s="740"/>
      <c r="D74" s="923" t="str">
        <f>IF(데이터입력!AD84="","X",데이터입력!AD84)</f>
        <v>비지정후원금</v>
      </c>
      <c r="E74" s="719"/>
      <c r="F74" s="922">
        <f>IF(D74="X",IF($H$2="추경",데이터입력!$Y$8,12),IF($H$2="추경",데이터입력!AF84,12))</f>
        <v>12</v>
      </c>
      <c r="G74" s="911" t="s">
        <v>815</v>
      </c>
      <c r="H74" s="760">
        <v>0</v>
      </c>
      <c r="I74" s="919">
        <f>IF(G74="X",IF($H$2="추경",데이터입력!$Y$8,12),IF($H$2="추경",데이터입력!AF77,12))</f>
        <v>12</v>
      </c>
      <c r="K74" s="41"/>
      <c r="L74" s="11"/>
      <c r="M74" s="11"/>
      <c r="N74" s="11"/>
      <c r="O74" s="11" t="str">
        <f>IFERROR(IF(예산업로드양식!E69="","",IF(예산업로드양식!F69="06",예산업로드양식!E69,"")),"")</f>
        <v/>
      </c>
      <c r="P74" s="12" t="str">
        <f>IFERROR(IF(예산업로드양식!H69="","",IF(예산업로드양식!F69="06",예산업로드양식!H69,"")),"")</f>
        <v/>
      </c>
      <c r="Q74" s="6" t="str">
        <f t="shared" ref="Q74:Q113" si="2">P74</f>
        <v/>
      </c>
      <c r="R74" s="12"/>
      <c r="S74" s="165"/>
      <c r="T74" s="41"/>
      <c r="U74" s="11"/>
      <c r="V74" s="11"/>
      <c r="W74" s="11"/>
      <c r="X74" s="11" t="str">
        <f>IFERROR(IF(예산업로드양식!E69="","",IF(예산업로드양식!F69="07",예산업로드양식!E69,"")),"")</f>
        <v/>
      </c>
      <c r="Y74" s="12" t="str">
        <f>IFERROR(IF(예산업로드양식!H69="","",IF(예산업로드양식!F69="07",예산업로드양식!H69,"")),"")</f>
        <v/>
      </c>
      <c r="Z74" s="6" t="str">
        <f t="shared" ref="Z74:Z113" si="3">Y74</f>
        <v/>
      </c>
      <c r="AA74" s="12"/>
      <c r="AB74" s="165"/>
      <c r="AC74" s="41"/>
      <c r="AD74" s="11"/>
      <c r="AE74" s="11"/>
      <c r="AF74" s="11"/>
      <c r="AG74" s="11" t="str">
        <f>IFERROR(IF(예산업로드양식!E69="","",IF(예산업로드양식!F69="05",예산업로드양식!E69,"")),"")</f>
        <v/>
      </c>
      <c r="AH74" s="12" t="str">
        <f>IFERROR(IF(예산업로드양식!H69="","",IF(예산업로드양식!F69="05",예산업로드양식!H69,"")),"")</f>
        <v/>
      </c>
      <c r="AI74" s="12"/>
      <c r="AJ74" s="12"/>
      <c r="AL74" s="1035" t="e">
        <f>IF(#REF!="","",#REF!)</f>
        <v>#REF!</v>
      </c>
      <c r="AM74" s="1036" t="e">
        <f>IF(#REF!="","",#REF!)</f>
        <v>#REF!</v>
      </c>
      <c r="AN74" s="1037" t="e">
        <f>IF(AND(#REF!="",#REF!=1),"",#REF!)</f>
        <v>#REF!</v>
      </c>
      <c r="AO74" s="1038" t="e">
        <f>IF(#REF!="","",#REF!)</f>
        <v>#REF!</v>
      </c>
      <c r="AP74" s="971" t="e">
        <f>IF(#REF!="","",#REF!)</f>
        <v>#REF!</v>
      </c>
      <c r="AQ74" s="1039" t="e">
        <f>IF(#REF!="","",#REF!)</f>
        <v>#REF!</v>
      </c>
      <c r="AR74" s="973" t="e">
        <f>IF(#REF!="","",#REF!)</f>
        <v>#REF!</v>
      </c>
      <c r="AS74" s="974" t="e">
        <f>IF(#REF!="","",#REF!)</f>
        <v>#REF!</v>
      </c>
      <c r="AT74" s="975" t="e">
        <f>IF(#REF!="","",#REF!)</f>
        <v>#REF!</v>
      </c>
      <c r="AU74" s="976" t="e">
        <f>IF(#REF!="","",#REF!)</f>
        <v>#REF!</v>
      </c>
      <c r="AV74" s="977" t="e">
        <f>IF(#REF!="","",#REF!)</f>
        <v>#REF!</v>
      </c>
      <c r="AW74" s="1040" t="e">
        <f>IF(#REF!="","",#REF!)</f>
        <v>#REF!</v>
      </c>
      <c r="AX74" s="987" t="e">
        <f>IF(#REF!="","",#REF!)</f>
        <v>#REF!</v>
      </c>
    </row>
    <row r="75" spans="1:50" ht="17.25" thickBot="1">
      <c r="A75" s="925" t="str">
        <f>IF(데이터입력!AA85="","X",데이터입력!AA85)</f>
        <v>X</v>
      </c>
      <c r="B75" s="741">
        <f>데이터입력!AB85</f>
        <v>0</v>
      </c>
      <c r="C75" s="742"/>
      <c r="D75" s="731" t="str">
        <f>IF(데이터입력!AD85="","X",데이터입력!AD85)</f>
        <v>X</v>
      </c>
      <c r="E75" s="732">
        <f>데이터입력!AE85</f>
        <v>0</v>
      </c>
      <c r="F75" s="922">
        <f>IF(D75="X",IF($H$2="추경",데이터입력!$Y$8,1),IF($H$2="추경",데이터입력!AF85,데이터입력!AF85))</f>
        <v>1</v>
      </c>
      <c r="G75" s="925" t="str">
        <f>IF(데이터입력!AD78="","X",데이터입력!AD78)</f>
        <v>X</v>
      </c>
      <c r="H75" s="1232">
        <f>데이터입력!AE78</f>
        <v>0</v>
      </c>
      <c r="I75" s="919">
        <f>IF(G75="X",IF($H$2="추경",데이터입력!$Y$8,1),IF($H$2="추경",데이터입력!AF78,데이터입력!AF78))</f>
        <v>1</v>
      </c>
      <c r="K75" s="40"/>
      <c r="L75" s="9"/>
      <c r="M75" s="9"/>
      <c r="N75" s="9"/>
      <c r="O75" s="9" t="str">
        <f>IFERROR(IF(예산업로드양식!E70="","",IF(예산업로드양식!F70="06",예산업로드양식!E70,"")),"")</f>
        <v/>
      </c>
      <c r="P75" s="10" t="str">
        <f>IFERROR(IF(예산업로드양식!H70="","",IF(예산업로드양식!F70="06",예산업로드양식!H70,"")),"")</f>
        <v/>
      </c>
      <c r="Q75" s="10" t="str">
        <f t="shared" si="2"/>
        <v/>
      </c>
      <c r="R75" s="10"/>
      <c r="S75" s="165"/>
      <c r="T75" s="40"/>
      <c r="U75" s="9"/>
      <c r="V75" s="9"/>
      <c r="W75" s="9"/>
      <c r="X75" s="9" t="str">
        <f>IFERROR(IF(예산업로드양식!E70="","",IF(예산업로드양식!F70="07",예산업로드양식!E70,"")),"")</f>
        <v/>
      </c>
      <c r="Y75" s="10" t="str">
        <f>IFERROR(IF(예산업로드양식!H70="","",IF(예산업로드양식!F70="07",예산업로드양식!H70,"")),"")</f>
        <v/>
      </c>
      <c r="Z75" s="10" t="str">
        <f t="shared" si="3"/>
        <v/>
      </c>
      <c r="AA75" s="10"/>
      <c r="AB75" s="165"/>
      <c r="AC75" s="40"/>
      <c r="AD75" s="9"/>
      <c r="AE75" s="9"/>
      <c r="AF75" s="9"/>
      <c r="AG75" s="9" t="str">
        <f>IFERROR(IF(예산업로드양식!E70="","",IF(예산업로드양식!F70="05",예산업로드양식!E70,"")),"")</f>
        <v/>
      </c>
      <c r="AH75" s="10" t="str">
        <f>IFERROR(IF(예산업로드양식!H70="","",IF(예산업로드양식!F70="05",예산업로드양식!H70,"")),"")</f>
        <v/>
      </c>
      <c r="AI75" s="10"/>
      <c r="AJ75" s="10"/>
      <c r="AL75" s="1035" t="e">
        <f>IF(#REF!="","",#REF!)</f>
        <v>#REF!</v>
      </c>
      <c r="AM75" s="1036" t="e">
        <f>IF(#REF!="","",#REF!)</f>
        <v>#REF!</v>
      </c>
      <c r="AN75" s="1037" t="e">
        <f>IF(AND(#REF!="",#REF!=1),"",#REF!)</f>
        <v>#REF!</v>
      </c>
      <c r="AO75" s="1038" t="e">
        <f>IF(#REF!="","",#REF!)</f>
        <v>#REF!</v>
      </c>
      <c r="AP75" s="971" t="e">
        <f>IF(#REF!="","",#REF!)</f>
        <v>#REF!</v>
      </c>
      <c r="AQ75" s="1039" t="e">
        <f>IF(#REF!="","",#REF!)</f>
        <v>#REF!</v>
      </c>
      <c r="AR75" s="973" t="e">
        <f>IF(#REF!="","",#REF!)</f>
        <v>#REF!</v>
      </c>
      <c r="AS75" s="974" t="e">
        <f>IF(#REF!="","",#REF!)</f>
        <v>#REF!</v>
      </c>
      <c r="AT75" s="975" t="e">
        <f>IF(#REF!="","",#REF!)</f>
        <v>#REF!</v>
      </c>
      <c r="AU75" s="976" t="e">
        <f>IF(#REF!="","",#REF!)</f>
        <v>#REF!</v>
      </c>
      <c r="AV75" s="977" t="e">
        <f>IF(#REF!="","",#REF!)</f>
        <v>#REF!</v>
      </c>
      <c r="AW75" s="1040" t="e">
        <f>IF(#REF!="","",#REF!)</f>
        <v>#REF!</v>
      </c>
      <c r="AX75" s="987" t="e">
        <f>IF(#REF!="","",#REF!)</f>
        <v>#REF!</v>
      </c>
    </row>
    <row r="76" spans="1:50">
      <c r="K76" s="41"/>
      <c r="L76" s="11"/>
      <c r="M76" s="11"/>
      <c r="N76" s="11"/>
      <c r="O76" s="11" t="str">
        <f>IFERROR(IF(예산업로드양식!E71="","",IF(예산업로드양식!F71="06",예산업로드양식!E71,"")),"")</f>
        <v/>
      </c>
      <c r="P76" s="12" t="str">
        <f>IFERROR(IF(예산업로드양식!H71="","",IF(예산업로드양식!F71="06",예산업로드양식!H71,"")),"")</f>
        <v/>
      </c>
      <c r="Q76" s="6" t="str">
        <f t="shared" si="2"/>
        <v/>
      </c>
      <c r="R76" s="12"/>
      <c r="S76" s="165"/>
      <c r="T76" s="41"/>
      <c r="U76" s="11"/>
      <c r="V76" s="11"/>
      <c r="W76" s="11"/>
      <c r="X76" s="11" t="str">
        <f>IFERROR(IF(예산업로드양식!E71="","",IF(예산업로드양식!F71="07",예산업로드양식!E71,"")),"")</f>
        <v/>
      </c>
      <c r="Y76" s="12" t="str">
        <f>IFERROR(IF(예산업로드양식!H71="","",IF(예산업로드양식!F71="07",예산업로드양식!H71,"")),"")</f>
        <v/>
      </c>
      <c r="Z76" s="6" t="str">
        <f t="shared" si="3"/>
        <v/>
      </c>
      <c r="AA76" s="12"/>
      <c r="AB76" s="165"/>
      <c r="AC76" s="41"/>
      <c r="AD76" s="11"/>
      <c r="AE76" s="11"/>
      <c r="AF76" s="11"/>
      <c r="AG76" s="11" t="str">
        <f>IFERROR(IF(예산업로드양식!E71="","",IF(예산업로드양식!F71="05",예산업로드양식!E71,"")),"")</f>
        <v/>
      </c>
      <c r="AH76" s="12" t="str">
        <f>IFERROR(IF(예산업로드양식!H71="","",IF(예산업로드양식!F71="05",예산업로드양식!H71,"")),"")</f>
        <v/>
      </c>
      <c r="AI76" s="12"/>
      <c r="AJ76" s="12"/>
      <c r="AL76" s="1035" t="e">
        <f>IF(#REF!="","",#REF!)</f>
        <v>#REF!</v>
      </c>
      <c r="AM76" s="1036" t="e">
        <f>IF(#REF!="","",#REF!)</f>
        <v>#REF!</v>
      </c>
      <c r="AN76" s="1037" t="e">
        <f>IF(AND(#REF!="",#REF!=1),"",#REF!)</f>
        <v>#REF!</v>
      </c>
      <c r="AO76" s="1038" t="e">
        <f>IF(#REF!="","",#REF!)</f>
        <v>#REF!</v>
      </c>
      <c r="AP76" s="971" t="e">
        <f>IF(#REF!="","",#REF!)</f>
        <v>#REF!</v>
      </c>
      <c r="AQ76" s="1039" t="e">
        <f>IF(#REF!="","",#REF!)</f>
        <v>#REF!</v>
      </c>
      <c r="AR76" s="973" t="e">
        <f>IF(#REF!="","",#REF!)</f>
        <v>#REF!</v>
      </c>
      <c r="AS76" s="974" t="e">
        <f>IF(#REF!="","",#REF!)</f>
        <v>#REF!</v>
      </c>
      <c r="AT76" s="975" t="e">
        <f>IF(#REF!="","",#REF!)</f>
        <v>#REF!</v>
      </c>
      <c r="AU76" s="976" t="e">
        <f>IF(#REF!="","",#REF!)</f>
        <v>#REF!</v>
      </c>
      <c r="AV76" s="977" t="e">
        <f>IF(#REF!="","",#REF!)</f>
        <v>#REF!</v>
      </c>
      <c r="AW76" s="1040" t="e">
        <f>IF(#REF!="","",#REF!)</f>
        <v>#REF!</v>
      </c>
      <c r="AX76" s="987" t="e">
        <f>IF(#REF!="","",#REF!)</f>
        <v>#REF!</v>
      </c>
    </row>
    <row r="77" spans="1:50">
      <c r="K77" s="40"/>
      <c r="L77" s="9"/>
      <c r="M77" s="9"/>
      <c r="N77" s="9"/>
      <c r="O77" s="9" t="str">
        <f>IFERROR(IF(예산업로드양식!E72="","",IF(예산업로드양식!F72="06",예산업로드양식!E72,"")),"")</f>
        <v/>
      </c>
      <c r="P77" s="10" t="str">
        <f>IFERROR(IF(예산업로드양식!H72="","",IF(예산업로드양식!F72="06",예산업로드양식!H72,"")),"")</f>
        <v/>
      </c>
      <c r="Q77" s="10" t="str">
        <f t="shared" si="2"/>
        <v/>
      </c>
      <c r="R77" s="10"/>
      <c r="S77" s="165"/>
      <c r="T77" s="40"/>
      <c r="U77" s="9"/>
      <c r="V77" s="9"/>
      <c r="W77" s="9"/>
      <c r="X77" s="9" t="str">
        <f>IFERROR(IF(예산업로드양식!E72="","",IF(예산업로드양식!F72="07",예산업로드양식!E72,"")),"")</f>
        <v/>
      </c>
      <c r="Y77" s="10" t="str">
        <f>IFERROR(IF(예산업로드양식!H72="","",IF(예산업로드양식!F72="07",예산업로드양식!H72,"")),"")</f>
        <v/>
      </c>
      <c r="Z77" s="10" t="str">
        <f t="shared" si="3"/>
        <v/>
      </c>
      <c r="AA77" s="10"/>
      <c r="AB77" s="165"/>
      <c r="AC77" s="40"/>
      <c r="AD77" s="9"/>
      <c r="AE77" s="9"/>
      <c r="AF77" s="9"/>
      <c r="AG77" s="9" t="str">
        <f>IFERROR(IF(예산업로드양식!E72="","",IF(예산업로드양식!F72="05",예산업로드양식!E72,"")),"")</f>
        <v/>
      </c>
      <c r="AH77" s="10" t="str">
        <f>IFERROR(IF(예산업로드양식!H72="","",IF(예산업로드양식!F72="05",예산업로드양식!H72,"")),"")</f>
        <v/>
      </c>
      <c r="AI77" s="10"/>
      <c r="AJ77" s="10"/>
      <c r="AL77" s="1035" t="e">
        <f>IF(#REF!="","",#REF!)</f>
        <v>#REF!</v>
      </c>
      <c r="AM77" s="1036" t="e">
        <f>IF(#REF!="","",#REF!)</f>
        <v>#REF!</v>
      </c>
      <c r="AN77" s="1037" t="e">
        <f>IF(AND(#REF!="",#REF!=1),"",#REF!)</f>
        <v>#REF!</v>
      </c>
      <c r="AO77" s="1038" t="e">
        <f>IF(#REF!="","",#REF!)</f>
        <v>#REF!</v>
      </c>
      <c r="AP77" s="971" t="e">
        <f>IF(#REF!="","",#REF!)</f>
        <v>#REF!</v>
      </c>
      <c r="AQ77" s="1039" t="e">
        <f>IF(#REF!="","",#REF!)</f>
        <v>#REF!</v>
      </c>
      <c r="AR77" s="973" t="e">
        <f>IF(#REF!="","",#REF!)</f>
        <v>#REF!</v>
      </c>
      <c r="AS77" s="974" t="e">
        <f>IF(#REF!="","",#REF!)</f>
        <v>#REF!</v>
      </c>
      <c r="AT77" s="975" t="e">
        <f>IF(#REF!="","",#REF!)</f>
        <v>#REF!</v>
      </c>
      <c r="AU77" s="976" t="e">
        <f>IF(#REF!="","",#REF!)</f>
        <v>#REF!</v>
      </c>
      <c r="AV77" s="977" t="e">
        <f>IF(#REF!="","",#REF!)</f>
        <v>#REF!</v>
      </c>
      <c r="AW77" s="1040" t="e">
        <f>IF(#REF!="","",#REF!)</f>
        <v>#REF!</v>
      </c>
      <c r="AX77" s="987" t="e">
        <f>IF(#REF!="","",#REF!)</f>
        <v>#REF!</v>
      </c>
    </row>
    <row r="78" spans="1:50">
      <c r="K78" s="41"/>
      <c r="L78" s="11"/>
      <c r="M78" s="11"/>
      <c r="N78" s="11"/>
      <c r="O78" s="11" t="str">
        <f>IFERROR(IF(예산업로드양식!E73="","",IF(예산업로드양식!F73="06",예산업로드양식!E73,"")),"")</f>
        <v/>
      </c>
      <c r="P78" s="12" t="str">
        <f>IFERROR(IF(예산업로드양식!H73="","",IF(예산업로드양식!F73="06",예산업로드양식!H73,"")),"")</f>
        <v/>
      </c>
      <c r="Q78" s="6" t="str">
        <f t="shared" si="2"/>
        <v/>
      </c>
      <c r="R78" s="12"/>
      <c r="S78" s="165"/>
      <c r="T78" s="41"/>
      <c r="U78" s="11"/>
      <c r="V78" s="11"/>
      <c r="W78" s="11"/>
      <c r="X78" s="11" t="str">
        <f>IFERROR(IF(예산업로드양식!E73="","",IF(예산업로드양식!F73="07",예산업로드양식!E73,"")),"")</f>
        <v/>
      </c>
      <c r="Y78" s="12" t="str">
        <f>IFERROR(IF(예산업로드양식!H73="","",IF(예산업로드양식!F73="07",예산업로드양식!H73,"")),"")</f>
        <v/>
      </c>
      <c r="Z78" s="6" t="str">
        <f t="shared" si="3"/>
        <v/>
      </c>
      <c r="AA78" s="12"/>
      <c r="AB78" s="165"/>
      <c r="AC78" s="41"/>
      <c r="AD78" s="11"/>
      <c r="AE78" s="11"/>
      <c r="AF78" s="11"/>
      <c r="AG78" s="11" t="str">
        <f>IFERROR(IF(예산업로드양식!E73="","",IF(예산업로드양식!F73="05",예산업로드양식!E73,"")),"")</f>
        <v/>
      </c>
      <c r="AH78" s="12" t="str">
        <f>IFERROR(IF(예산업로드양식!H73="","",IF(예산업로드양식!F73="05",예산업로드양식!H73,"")),"")</f>
        <v/>
      </c>
      <c r="AI78" s="12"/>
      <c r="AJ78" s="12"/>
      <c r="AL78" s="1035" t="e">
        <f>IF(#REF!="","",#REF!)</f>
        <v>#REF!</v>
      </c>
      <c r="AM78" s="1036" t="e">
        <f>IF(#REF!="","",#REF!)</f>
        <v>#REF!</v>
      </c>
      <c r="AN78" s="1037" t="e">
        <f>IF(AND(#REF!="",#REF!=1),"",#REF!)</f>
        <v>#REF!</v>
      </c>
      <c r="AO78" s="1038" t="e">
        <f>IF(#REF!="","",#REF!)</f>
        <v>#REF!</v>
      </c>
      <c r="AP78" s="971" t="e">
        <f>IF(#REF!="","",#REF!)</f>
        <v>#REF!</v>
      </c>
      <c r="AQ78" s="1039" t="e">
        <f>IF(#REF!="","",#REF!)</f>
        <v>#REF!</v>
      </c>
      <c r="AR78" s="973" t="e">
        <f>IF(#REF!="","",#REF!)</f>
        <v>#REF!</v>
      </c>
      <c r="AS78" s="974" t="e">
        <f>IF(#REF!="","",#REF!)</f>
        <v>#REF!</v>
      </c>
      <c r="AT78" s="975" t="e">
        <f>IF(#REF!="","",#REF!)</f>
        <v>#REF!</v>
      </c>
      <c r="AU78" s="976" t="e">
        <f>IF(#REF!="","",#REF!)</f>
        <v>#REF!</v>
      </c>
      <c r="AV78" s="977" t="e">
        <f>IF(#REF!="","",#REF!)</f>
        <v>#REF!</v>
      </c>
      <c r="AW78" s="1040" t="e">
        <f>IF(#REF!="","",#REF!)</f>
        <v>#REF!</v>
      </c>
      <c r="AX78" s="987" t="e">
        <f>IF(#REF!="","",#REF!)</f>
        <v>#REF!</v>
      </c>
    </row>
    <row r="79" spans="1:50">
      <c r="K79" s="40"/>
      <c r="L79" s="9"/>
      <c r="M79" s="9"/>
      <c r="N79" s="9"/>
      <c r="O79" s="9" t="str">
        <f>IFERROR(IF(예산업로드양식!E74="","",IF(예산업로드양식!F74="06",예산업로드양식!E74,"")),"")</f>
        <v/>
      </c>
      <c r="P79" s="10" t="str">
        <f>IFERROR(IF(예산업로드양식!H74="","",IF(예산업로드양식!F74="06",예산업로드양식!H74,"")),"")</f>
        <v/>
      </c>
      <c r="Q79" s="10" t="str">
        <f t="shared" si="2"/>
        <v/>
      </c>
      <c r="R79" s="10"/>
      <c r="S79" s="165"/>
      <c r="T79" s="40"/>
      <c r="U79" s="9"/>
      <c r="V79" s="9"/>
      <c r="W79" s="9"/>
      <c r="X79" s="9" t="str">
        <f>IFERROR(IF(예산업로드양식!E74="","",IF(예산업로드양식!F74="07",예산업로드양식!E74,"")),"")</f>
        <v/>
      </c>
      <c r="Y79" s="10" t="str">
        <f>IFERROR(IF(예산업로드양식!H74="","",IF(예산업로드양식!F74="07",예산업로드양식!H74,"")),"")</f>
        <v/>
      </c>
      <c r="Z79" s="10" t="str">
        <f t="shared" si="3"/>
        <v/>
      </c>
      <c r="AA79" s="10"/>
      <c r="AB79" s="165"/>
      <c r="AC79" s="40"/>
      <c r="AD79" s="9"/>
      <c r="AE79" s="9"/>
      <c r="AF79" s="9"/>
      <c r="AG79" s="9" t="str">
        <f>IFERROR(IF(예산업로드양식!E74="","",IF(예산업로드양식!F74="05",예산업로드양식!E74,"")),"")</f>
        <v/>
      </c>
      <c r="AH79" s="10" t="str">
        <f>IFERROR(IF(예산업로드양식!H74="","",IF(예산업로드양식!F74="05",예산업로드양식!H74,"")),"")</f>
        <v/>
      </c>
      <c r="AI79" s="10"/>
      <c r="AJ79" s="10"/>
      <c r="AL79" s="1035" t="e">
        <f>IF(#REF!="","",#REF!)</f>
        <v>#REF!</v>
      </c>
      <c r="AM79" s="1036" t="e">
        <f>IF(#REF!="","",#REF!)</f>
        <v>#REF!</v>
      </c>
      <c r="AN79" s="1037" t="e">
        <f>IF(AND(#REF!="",#REF!=1),"",#REF!)</f>
        <v>#REF!</v>
      </c>
      <c r="AO79" s="1038" t="e">
        <f>IF(#REF!="","",#REF!)</f>
        <v>#REF!</v>
      </c>
      <c r="AP79" s="971" t="e">
        <f>IF(#REF!="","",#REF!)</f>
        <v>#REF!</v>
      </c>
      <c r="AQ79" s="1039" t="e">
        <f>IF(#REF!="","",#REF!)</f>
        <v>#REF!</v>
      </c>
      <c r="AR79" s="973" t="e">
        <f>IF(#REF!="","",#REF!)</f>
        <v>#REF!</v>
      </c>
      <c r="AS79" s="974" t="e">
        <f>IF(#REF!="","",#REF!)</f>
        <v>#REF!</v>
      </c>
      <c r="AT79" s="975" t="e">
        <f>IF(#REF!="","",#REF!)</f>
        <v>#REF!</v>
      </c>
      <c r="AU79" s="976" t="e">
        <f>IF(#REF!="","",#REF!)</f>
        <v>#REF!</v>
      </c>
      <c r="AV79" s="977" t="e">
        <f>IF(#REF!="","",#REF!)</f>
        <v>#REF!</v>
      </c>
      <c r="AW79" s="1040" t="e">
        <f>IF(#REF!="","",#REF!)</f>
        <v>#REF!</v>
      </c>
      <c r="AX79" s="987" t="e">
        <f>IF(#REF!="","",#REF!)</f>
        <v>#REF!</v>
      </c>
    </row>
    <row r="80" spans="1:50">
      <c r="K80" s="41"/>
      <c r="L80" s="11"/>
      <c r="M80" s="11"/>
      <c r="N80" s="11"/>
      <c r="O80" s="11" t="str">
        <f>IFERROR(IF(예산업로드양식!E75="","",IF(예산업로드양식!F75="06",예산업로드양식!E75,"")),"")</f>
        <v/>
      </c>
      <c r="P80" s="12" t="str">
        <f>IFERROR(IF(예산업로드양식!H75="","",IF(예산업로드양식!F75="06",예산업로드양식!H75,"")),"")</f>
        <v/>
      </c>
      <c r="Q80" s="6" t="str">
        <f t="shared" si="2"/>
        <v/>
      </c>
      <c r="R80" s="12"/>
      <c r="S80" s="165"/>
      <c r="T80" s="41"/>
      <c r="U80" s="11"/>
      <c r="V80" s="11"/>
      <c r="W80" s="11"/>
      <c r="X80" s="11" t="str">
        <f>IFERROR(IF(예산업로드양식!E75="","",IF(예산업로드양식!F75="07",예산업로드양식!E75,"")),"")</f>
        <v/>
      </c>
      <c r="Y80" s="12" t="str">
        <f>IFERROR(IF(예산업로드양식!H75="","",IF(예산업로드양식!F75="07",예산업로드양식!H75,"")),"")</f>
        <v/>
      </c>
      <c r="Z80" s="6" t="str">
        <f t="shared" si="3"/>
        <v/>
      </c>
      <c r="AA80" s="12"/>
      <c r="AB80" s="165"/>
      <c r="AC80" s="41"/>
      <c r="AD80" s="11"/>
      <c r="AE80" s="11"/>
      <c r="AF80" s="11"/>
      <c r="AG80" s="11" t="str">
        <f>IFERROR(IF(예산업로드양식!E75="","",IF(예산업로드양식!F75="05",예산업로드양식!E75,"")),"")</f>
        <v/>
      </c>
      <c r="AH80" s="12" t="str">
        <f>IFERROR(IF(예산업로드양식!H75="","",IF(예산업로드양식!F75="05",예산업로드양식!H75,"")),"")</f>
        <v/>
      </c>
      <c r="AI80" s="12"/>
      <c r="AJ80" s="12"/>
      <c r="AL80" s="1035" t="e">
        <f>IF(#REF!="","",#REF!)</f>
        <v>#REF!</v>
      </c>
      <c r="AM80" s="1036" t="e">
        <f>IF(#REF!="","",#REF!)</f>
        <v>#REF!</v>
      </c>
      <c r="AN80" s="1037" t="e">
        <f>IF(AND(#REF!="",#REF!=1),"",#REF!)</f>
        <v>#REF!</v>
      </c>
      <c r="AO80" s="1038" t="e">
        <f>IF(#REF!="","",#REF!)</f>
        <v>#REF!</v>
      </c>
      <c r="AP80" s="971" t="e">
        <f>IF(#REF!="","",#REF!)</f>
        <v>#REF!</v>
      </c>
      <c r="AQ80" s="1039" t="e">
        <f>IF(#REF!="","",#REF!)</f>
        <v>#REF!</v>
      </c>
      <c r="AR80" s="973" t="e">
        <f>IF(#REF!="","",#REF!)</f>
        <v>#REF!</v>
      </c>
      <c r="AS80" s="974" t="e">
        <f>IF(#REF!="","",#REF!)</f>
        <v>#REF!</v>
      </c>
      <c r="AT80" s="975" t="e">
        <f>IF(#REF!="","",#REF!)</f>
        <v>#REF!</v>
      </c>
      <c r="AU80" s="976" t="e">
        <f>IF(#REF!="","",#REF!)</f>
        <v>#REF!</v>
      </c>
      <c r="AV80" s="977" t="e">
        <f>IF(#REF!="","",#REF!)</f>
        <v>#REF!</v>
      </c>
      <c r="AW80" s="1040" t="e">
        <f>IF(#REF!="","",#REF!)</f>
        <v>#REF!</v>
      </c>
      <c r="AX80" s="987" t="e">
        <f>IF(#REF!="","",#REF!)</f>
        <v>#REF!</v>
      </c>
    </row>
    <row r="81" spans="11:50">
      <c r="K81" s="40"/>
      <c r="L81" s="9"/>
      <c r="M81" s="9"/>
      <c r="N81" s="9"/>
      <c r="O81" s="9" t="str">
        <f>IFERROR(IF(예산업로드양식!E76="","",IF(예산업로드양식!F76="06",예산업로드양식!E76,"")),"")</f>
        <v/>
      </c>
      <c r="P81" s="10" t="str">
        <f>IFERROR(IF(예산업로드양식!H76="","",IF(예산업로드양식!F76="06",예산업로드양식!H76,"")),"")</f>
        <v/>
      </c>
      <c r="Q81" s="10" t="str">
        <f t="shared" si="2"/>
        <v/>
      </c>
      <c r="R81" s="10"/>
      <c r="S81" s="165"/>
      <c r="T81" s="40"/>
      <c r="U81" s="9"/>
      <c r="V81" s="9"/>
      <c r="W81" s="9"/>
      <c r="X81" s="9" t="str">
        <f>IFERROR(IF(예산업로드양식!E76="","",IF(예산업로드양식!F76="07",예산업로드양식!E76,"")),"")</f>
        <v/>
      </c>
      <c r="Y81" s="10" t="str">
        <f>IFERROR(IF(예산업로드양식!H76="","",IF(예산업로드양식!F76="07",예산업로드양식!H76,"")),"")</f>
        <v/>
      </c>
      <c r="Z81" s="10" t="str">
        <f t="shared" si="3"/>
        <v/>
      </c>
      <c r="AA81" s="10"/>
      <c r="AB81" s="165"/>
      <c r="AC81" s="40"/>
      <c r="AD81" s="9"/>
      <c r="AE81" s="9"/>
      <c r="AF81" s="9"/>
      <c r="AG81" s="9" t="str">
        <f>IFERROR(IF(예산업로드양식!E76="","",IF(예산업로드양식!F76="05",예산업로드양식!E76,"")),"")</f>
        <v/>
      </c>
      <c r="AH81" s="10" t="str">
        <f>IFERROR(IF(예산업로드양식!H76="","",IF(예산업로드양식!F76="05",예산업로드양식!H76,"")),"")</f>
        <v/>
      </c>
      <c r="AI81" s="10"/>
      <c r="AJ81" s="10"/>
      <c r="AL81" s="1035" t="e">
        <f>IF(#REF!="","",#REF!)</f>
        <v>#REF!</v>
      </c>
      <c r="AM81" s="1036" t="e">
        <f>IF(#REF!="","",#REF!)</f>
        <v>#REF!</v>
      </c>
      <c r="AN81" s="1037" t="e">
        <f>IF(AND(#REF!="",#REF!=1),"",#REF!)</f>
        <v>#REF!</v>
      </c>
      <c r="AO81" s="1038" t="e">
        <f>IF(#REF!="","",#REF!)</f>
        <v>#REF!</v>
      </c>
      <c r="AP81" s="971" t="e">
        <f>IF(#REF!="","",#REF!)</f>
        <v>#REF!</v>
      </c>
      <c r="AQ81" s="1039" t="e">
        <f>IF(#REF!="","",#REF!)</f>
        <v>#REF!</v>
      </c>
      <c r="AR81" s="973" t="e">
        <f>IF(#REF!="","",#REF!)</f>
        <v>#REF!</v>
      </c>
      <c r="AS81" s="974" t="e">
        <f>IF(#REF!="","",#REF!)</f>
        <v>#REF!</v>
      </c>
      <c r="AT81" s="975" t="e">
        <f>IF(#REF!="","",#REF!)</f>
        <v>#REF!</v>
      </c>
      <c r="AU81" s="976" t="e">
        <f>IF(#REF!="","",#REF!)</f>
        <v>#REF!</v>
      </c>
      <c r="AV81" s="977" t="e">
        <f>IF(#REF!="","",#REF!)</f>
        <v>#REF!</v>
      </c>
      <c r="AW81" s="1040" t="e">
        <f>IF(#REF!="","",#REF!)</f>
        <v>#REF!</v>
      </c>
      <c r="AX81" s="987" t="e">
        <f>IF(#REF!="","",#REF!)</f>
        <v>#REF!</v>
      </c>
    </row>
    <row r="82" spans="11:50">
      <c r="K82" s="41"/>
      <c r="L82" s="11"/>
      <c r="M82" s="11"/>
      <c r="N82" s="11"/>
      <c r="O82" s="11" t="str">
        <f>IFERROR(IF(예산업로드양식!E77="","",IF(예산업로드양식!F77="06",예산업로드양식!E77,"")),"")</f>
        <v/>
      </c>
      <c r="P82" s="12" t="str">
        <f>IFERROR(IF(예산업로드양식!H77="","",IF(예산업로드양식!F77="06",예산업로드양식!H77,"")),"")</f>
        <v/>
      </c>
      <c r="Q82" s="6" t="str">
        <f t="shared" si="2"/>
        <v/>
      </c>
      <c r="R82" s="12"/>
      <c r="S82" s="165"/>
      <c r="T82" s="41"/>
      <c r="U82" s="11"/>
      <c r="V82" s="11"/>
      <c r="W82" s="11"/>
      <c r="X82" s="11" t="str">
        <f>IFERROR(IF(예산업로드양식!E77="","",IF(예산업로드양식!F77="07",예산업로드양식!E77,"")),"")</f>
        <v/>
      </c>
      <c r="Y82" s="12" t="str">
        <f>IFERROR(IF(예산업로드양식!H77="","",IF(예산업로드양식!F77="07",예산업로드양식!H77,"")),"")</f>
        <v/>
      </c>
      <c r="Z82" s="6" t="str">
        <f t="shared" si="3"/>
        <v/>
      </c>
      <c r="AA82" s="12"/>
      <c r="AB82" s="165"/>
      <c r="AC82" s="41"/>
      <c r="AD82" s="11"/>
      <c r="AE82" s="11"/>
      <c r="AF82" s="11"/>
      <c r="AG82" s="11" t="str">
        <f>IFERROR(IF(예산업로드양식!E77="","",IF(예산업로드양식!F77="05",예산업로드양식!E77,"")),"")</f>
        <v/>
      </c>
      <c r="AH82" s="12" t="str">
        <f>IFERROR(IF(예산업로드양식!H77="","",IF(예산업로드양식!F77="05",예산업로드양식!H77,"")),"")</f>
        <v/>
      </c>
      <c r="AI82" s="12"/>
      <c r="AJ82" s="12"/>
      <c r="AL82" s="1035" t="e">
        <f>IF(#REF!="","",#REF!)</f>
        <v>#REF!</v>
      </c>
      <c r="AM82" s="1036" t="e">
        <f>IF(#REF!="","",#REF!)</f>
        <v>#REF!</v>
      </c>
      <c r="AN82" s="1037" t="e">
        <f>IF(AND(#REF!="",#REF!=1),"",#REF!)</f>
        <v>#REF!</v>
      </c>
      <c r="AO82" s="1038" t="e">
        <f>IF(#REF!="","",#REF!)</f>
        <v>#REF!</v>
      </c>
      <c r="AP82" s="971" t="e">
        <f>IF(#REF!="","",#REF!)</f>
        <v>#REF!</v>
      </c>
      <c r="AQ82" s="1039" t="e">
        <f>IF(#REF!="","",#REF!)</f>
        <v>#REF!</v>
      </c>
      <c r="AR82" s="973" t="e">
        <f>IF(#REF!="","",#REF!)</f>
        <v>#REF!</v>
      </c>
      <c r="AS82" s="974" t="e">
        <f>IF(#REF!="","",#REF!)</f>
        <v>#REF!</v>
      </c>
      <c r="AT82" s="975" t="e">
        <f>IF(#REF!="","",#REF!)</f>
        <v>#REF!</v>
      </c>
      <c r="AU82" s="976" t="e">
        <f>IF(#REF!="","",#REF!)</f>
        <v>#REF!</v>
      </c>
      <c r="AV82" s="977" t="e">
        <f>IF(#REF!="","",#REF!)</f>
        <v>#REF!</v>
      </c>
      <c r="AW82" s="1040" t="e">
        <f>IF(#REF!="","",#REF!)</f>
        <v>#REF!</v>
      </c>
      <c r="AX82" s="987" t="e">
        <f>IF(#REF!="","",#REF!)</f>
        <v>#REF!</v>
      </c>
    </row>
    <row r="83" spans="11:50">
      <c r="K83" s="40"/>
      <c r="L83" s="9"/>
      <c r="M83" s="9"/>
      <c r="N83" s="9"/>
      <c r="O83" s="9" t="str">
        <f>IFERROR(IF(예산업로드양식!E78="","",IF(예산업로드양식!F78="06",예산업로드양식!E78,"")),"")</f>
        <v/>
      </c>
      <c r="P83" s="10" t="str">
        <f>IFERROR(IF(예산업로드양식!H78="","",IF(예산업로드양식!F78="06",예산업로드양식!H78,"")),"")</f>
        <v/>
      </c>
      <c r="Q83" s="10" t="str">
        <f t="shared" si="2"/>
        <v/>
      </c>
      <c r="R83" s="10"/>
      <c r="S83" s="165"/>
      <c r="T83" s="40"/>
      <c r="U83" s="9"/>
      <c r="V83" s="9"/>
      <c r="W83" s="9"/>
      <c r="X83" s="9" t="str">
        <f>IFERROR(IF(예산업로드양식!E78="","",IF(예산업로드양식!F78="07",예산업로드양식!E78,"")),"")</f>
        <v/>
      </c>
      <c r="Y83" s="10" t="str">
        <f>IFERROR(IF(예산업로드양식!H78="","",IF(예산업로드양식!F78="07",예산업로드양식!H78,"")),"")</f>
        <v/>
      </c>
      <c r="Z83" s="10" t="str">
        <f t="shared" si="3"/>
        <v/>
      </c>
      <c r="AA83" s="10"/>
      <c r="AB83" s="165"/>
      <c r="AC83" s="40"/>
      <c r="AD83" s="9"/>
      <c r="AE83" s="9"/>
      <c r="AF83" s="9"/>
      <c r="AG83" s="9" t="str">
        <f>IFERROR(IF(예산업로드양식!E78="","",IF(예산업로드양식!F78="05",예산업로드양식!E78,"")),"")</f>
        <v/>
      </c>
      <c r="AH83" s="10" t="str">
        <f>IFERROR(IF(예산업로드양식!H78="","",IF(예산업로드양식!F78="05",예산업로드양식!H78,"")),"")</f>
        <v/>
      </c>
      <c r="AI83" s="10"/>
      <c r="AJ83" s="10"/>
      <c r="AL83" s="1035" t="e">
        <f>IF(#REF!="","",#REF!)</f>
        <v>#REF!</v>
      </c>
      <c r="AM83" s="1036" t="e">
        <f>IF(#REF!="","",#REF!)</f>
        <v>#REF!</v>
      </c>
      <c r="AN83" s="1037" t="e">
        <f>IF(AND(#REF!="",#REF!=1),"",#REF!)</f>
        <v>#REF!</v>
      </c>
      <c r="AO83" s="1038" t="e">
        <f>IF(#REF!="","",#REF!)</f>
        <v>#REF!</v>
      </c>
      <c r="AP83" s="971" t="e">
        <f>IF(#REF!="","",#REF!)</f>
        <v>#REF!</v>
      </c>
      <c r="AQ83" s="1039" t="e">
        <f>IF(#REF!="","",#REF!)</f>
        <v>#REF!</v>
      </c>
      <c r="AR83" s="973" t="e">
        <f>IF(#REF!="","",#REF!)</f>
        <v>#REF!</v>
      </c>
      <c r="AS83" s="974" t="e">
        <f>IF(#REF!="","",#REF!)</f>
        <v>#REF!</v>
      </c>
      <c r="AT83" s="975" t="e">
        <f>IF(#REF!="","",#REF!)</f>
        <v>#REF!</v>
      </c>
      <c r="AU83" s="976" t="e">
        <f>IF(#REF!="","",#REF!)</f>
        <v>#REF!</v>
      </c>
      <c r="AV83" s="977" t="e">
        <f>IF(#REF!="","",#REF!)</f>
        <v>#REF!</v>
      </c>
      <c r="AW83" s="1040" t="e">
        <f>IF(#REF!="","",#REF!)</f>
        <v>#REF!</v>
      </c>
      <c r="AX83" s="987" t="e">
        <f>IF(#REF!="","",#REF!)</f>
        <v>#REF!</v>
      </c>
    </row>
    <row r="84" spans="11:50">
      <c r="K84" s="41"/>
      <c r="L84" s="11"/>
      <c r="M84" s="11"/>
      <c r="N84" s="11"/>
      <c r="O84" s="11" t="str">
        <f>IFERROR(IF(예산업로드양식!E79="","",IF(예산업로드양식!F79="06",예산업로드양식!E79,"")),"")</f>
        <v/>
      </c>
      <c r="P84" s="12" t="str">
        <f>IFERROR(IF(예산업로드양식!H79="","",IF(예산업로드양식!F79="06",예산업로드양식!H79,"")),"")</f>
        <v/>
      </c>
      <c r="Q84" s="6" t="str">
        <f t="shared" si="2"/>
        <v/>
      </c>
      <c r="R84" s="12"/>
      <c r="S84" s="165"/>
      <c r="T84" s="41"/>
      <c r="U84" s="11"/>
      <c r="V84" s="11"/>
      <c r="W84" s="11"/>
      <c r="X84" s="11" t="str">
        <f>IFERROR(IF(예산업로드양식!E79="","",IF(예산업로드양식!F79="07",예산업로드양식!E79,"")),"")</f>
        <v/>
      </c>
      <c r="Y84" s="12" t="str">
        <f>IFERROR(IF(예산업로드양식!H79="","",IF(예산업로드양식!F79="07",예산업로드양식!H79,"")),"")</f>
        <v/>
      </c>
      <c r="Z84" s="6" t="str">
        <f t="shared" si="3"/>
        <v/>
      </c>
      <c r="AA84" s="12"/>
      <c r="AB84" s="165"/>
      <c r="AC84" s="41"/>
      <c r="AD84" s="11"/>
      <c r="AE84" s="11"/>
      <c r="AF84" s="11"/>
      <c r="AG84" s="11" t="str">
        <f>IFERROR(IF(예산업로드양식!E79="","",IF(예산업로드양식!F79="05",예산업로드양식!E79,"")),"")</f>
        <v/>
      </c>
      <c r="AH84" s="12" t="str">
        <f>IFERROR(IF(예산업로드양식!H79="","",IF(예산업로드양식!F79="05",예산업로드양식!H79,"")),"")</f>
        <v/>
      </c>
      <c r="AI84" s="12"/>
      <c r="AJ84" s="12"/>
      <c r="AL84" s="1035" t="e">
        <f>IF(#REF!="","",#REF!)</f>
        <v>#REF!</v>
      </c>
      <c r="AM84" s="1036" t="e">
        <f>IF(#REF!="","",#REF!)</f>
        <v>#REF!</v>
      </c>
      <c r="AN84" s="1037" t="e">
        <f>IF(AND(#REF!="",#REF!=1),"",#REF!)</f>
        <v>#REF!</v>
      </c>
      <c r="AO84" s="1038" t="e">
        <f>IF(#REF!="","",#REF!)</f>
        <v>#REF!</v>
      </c>
      <c r="AP84" s="971" t="e">
        <f>IF(#REF!="","",#REF!)</f>
        <v>#REF!</v>
      </c>
      <c r="AQ84" s="1039" t="e">
        <f>IF(#REF!="","",#REF!)</f>
        <v>#REF!</v>
      </c>
      <c r="AR84" s="973" t="e">
        <f>IF(#REF!="","",#REF!)</f>
        <v>#REF!</v>
      </c>
      <c r="AS84" s="974" t="e">
        <f>IF(#REF!="","",#REF!)</f>
        <v>#REF!</v>
      </c>
      <c r="AT84" s="975" t="e">
        <f>IF(#REF!="","",#REF!)</f>
        <v>#REF!</v>
      </c>
      <c r="AU84" s="976" t="e">
        <f>IF(#REF!="","",#REF!)</f>
        <v>#REF!</v>
      </c>
      <c r="AV84" s="977" t="e">
        <f>IF(#REF!="","",#REF!)</f>
        <v>#REF!</v>
      </c>
      <c r="AW84" s="1040" t="e">
        <f>IF(#REF!="","",#REF!)</f>
        <v>#REF!</v>
      </c>
      <c r="AX84" s="987" t="e">
        <f>IF(#REF!="","",#REF!)</f>
        <v>#REF!</v>
      </c>
    </row>
    <row r="85" spans="11:50">
      <c r="K85" s="40"/>
      <c r="L85" s="9"/>
      <c r="M85" s="9"/>
      <c r="N85" s="9"/>
      <c r="O85" s="9" t="str">
        <f>IFERROR(IF(예산업로드양식!E80="","",IF(예산업로드양식!F80="06",예산업로드양식!E80,"")),"")</f>
        <v/>
      </c>
      <c r="P85" s="10" t="str">
        <f>IFERROR(IF(예산업로드양식!H80="","",IF(예산업로드양식!F80="06",예산업로드양식!H80,"")),"")</f>
        <v/>
      </c>
      <c r="Q85" s="10" t="str">
        <f t="shared" si="2"/>
        <v/>
      </c>
      <c r="R85" s="10"/>
      <c r="S85" s="165"/>
      <c r="T85" s="40"/>
      <c r="U85" s="9"/>
      <c r="V85" s="9"/>
      <c r="W85" s="9"/>
      <c r="X85" s="9" t="str">
        <f>IFERROR(IF(예산업로드양식!E80="","",IF(예산업로드양식!F80="07",예산업로드양식!E80,"")),"")</f>
        <v/>
      </c>
      <c r="Y85" s="10" t="str">
        <f>IFERROR(IF(예산업로드양식!H80="","",IF(예산업로드양식!F80="07",예산업로드양식!H80,"")),"")</f>
        <v/>
      </c>
      <c r="Z85" s="10" t="str">
        <f t="shared" si="3"/>
        <v/>
      </c>
      <c r="AA85" s="10"/>
      <c r="AB85" s="165"/>
      <c r="AC85" s="40"/>
      <c r="AD85" s="9"/>
      <c r="AE85" s="9"/>
      <c r="AF85" s="9"/>
      <c r="AG85" s="9" t="str">
        <f>IFERROR(IF(예산업로드양식!E80="","",IF(예산업로드양식!F80="05",예산업로드양식!E80,"")),"")</f>
        <v/>
      </c>
      <c r="AH85" s="10" t="str">
        <f>IFERROR(IF(예산업로드양식!H80="","",IF(예산업로드양식!F80="05",예산업로드양식!H80,"")),"")</f>
        <v/>
      </c>
      <c r="AI85" s="10"/>
      <c r="AJ85" s="10"/>
      <c r="AL85" s="1035" t="e">
        <f>IF(#REF!="","",#REF!)</f>
        <v>#REF!</v>
      </c>
      <c r="AM85" s="1036" t="e">
        <f>IF(#REF!="","",#REF!)</f>
        <v>#REF!</v>
      </c>
      <c r="AN85" s="1037" t="e">
        <f>IF(AND(#REF!="",#REF!=1),"",#REF!)</f>
        <v>#REF!</v>
      </c>
      <c r="AO85" s="1038" t="e">
        <f>IF(#REF!="","",#REF!)</f>
        <v>#REF!</v>
      </c>
      <c r="AP85" s="971" t="e">
        <f>IF(#REF!="","",#REF!)</f>
        <v>#REF!</v>
      </c>
      <c r="AQ85" s="1039" t="e">
        <f>IF(#REF!="","",#REF!)</f>
        <v>#REF!</v>
      </c>
      <c r="AR85" s="973" t="e">
        <f>IF(#REF!="","",#REF!)</f>
        <v>#REF!</v>
      </c>
      <c r="AS85" s="974" t="e">
        <f>IF(#REF!="","",#REF!)</f>
        <v>#REF!</v>
      </c>
      <c r="AT85" s="975" t="e">
        <f>IF(#REF!="","",#REF!)</f>
        <v>#REF!</v>
      </c>
      <c r="AU85" s="976" t="e">
        <f>IF(#REF!="","",#REF!)</f>
        <v>#REF!</v>
      </c>
      <c r="AV85" s="977" t="e">
        <f>IF(#REF!="","",#REF!)</f>
        <v>#REF!</v>
      </c>
      <c r="AW85" s="1040" t="e">
        <f>IF(#REF!="","",#REF!)</f>
        <v>#REF!</v>
      </c>
      <c r="AX85" s="987" t="e">
        <f>IF(#REF!="","",#REF!)</f>
        <v>#REF!</v>
      </c>
    </row>
    <row r="86" spans="11:50">
      <c r="K86" s="41"/>
      <c r="L86" s="11"/>
      <c r="M86" s="11"/>
      <c r="N86" s="11"/>
      <c r="O86" s="11" t="str">
        <f>IFERROR(IF(예산업로드양식!E81="","",IF(예산업로드양식!F81="06",예산업로드양식!E81,"")),"")</f>
        <v/>
      </c>
      <c r="P86" s="12" t="str">
        <f>IFERROR(IF(예산업로드양식!H81="","",IF(예산업로드양식!F81="06",예산업로드양식!H81,"")),"")</f>
        <v/>
      </c>
      <c r="Q86" s="6" t="str">
        <f t="shared" si="2"/>
        <v/>
      </c>
      <c r="R86" s="12"/>
      <c r="S86" s="165"/>
      <c r="T86" s="41"/>
      <c r="U86" s="11"/>
      <c r="V86" s="11"/>
      <c r="W86" s="11"/>
      <c r="X86" s="11" t="str">
        <f>IFERROR(IF(예산업로드양식!E81="","",IF(예산업로드양식!F81="07",예산업로드양식!E81,"")),"")</f>
        <v/>
      </c>
      <c r="Y86" s="12" t="str">
        <f>IFERROR(IF(예산업로드양식!H81="","",IF(예산업로드양식!F81="07",예산업로드양식!H81,"")),"")</f>
        <v/>
      </c>
      <c r="Z86" s="6" t="str">
        <f t="shared" si="3"/>
        <v/>
      </c>
      <c r="AA86" s="12"/>
      <c r="AB86" s="165"/>
      <c r="AC86" s="41"/>
      <c r="AD86" s="11"/>
      <c r="AE86" s="11"/>
      <c r="AF86" s="11"/>
      <c r="AG86" s="11" t="str">
        <f>IFERROR(IF(예산업로드양식!E81="","",IF(예산업로드양식!F81="05",예산업로드양식!E81,"")),"")</f>
        <v/>
      </c>
      <c r="AH86" s="12" t="str">
        <f>IFERROR(IF(예산업로드양식!H81="","",IF(예산업로드양식!F81="05",예산업로드양식!H81,"")),"")</f>
        <v/>
      </c>
      <c r="AI86" s="12"/>
      <c r="AJ86" s="12"/>
      <c r="AL86" s="1035" t="e">
        <f>IF(#REF!="","",#REF!)</f>
        <v>#REF!</v>
      </c>
      <c r="AM86" s="1036" t="e">
        <f>IF(#REF!="","",#REF!)</f>
        <v>#REF!</v>
      </c>
      <c r="AN86" s="1037" t="e">
        <f>IF(AND(#REF!="",#REF!=1),"",#REF!)</f>
        <v>#REF!</v>
      </c>
      <c r="AO86" s="1038" t="e">
        <f>IF(#REF!="","",#REF!)</f>
        <v>#REF!</v>
      </c>
      <c r="AP86" s="971" t="e">
        <f>IF(#REF!="","",#REF!)</f>
        <v>#REF!</v>
      </c>
      <c r="AQ86" s="1039" t="e">
        <f>IF(#REF!="","",#REF!)</f>
        <v>#REF!</v>
      </c>
      <c r="AR86" s="973" t="e">
        <f>IF(#REF!="","",#REF!)</f>
        <v>#REF!</v>
      </c>
      <c r="AS86" s="974" t="e">
        <f>IF(#REF!="","",#REF!)</f>
        <v>#REF!</v>
      </c>
      <c r="AT86" s="975" t="e">
        <f>IF(#REF!="","",#REF!)</f>
        <v>#REF!</v>
      </c>
      <c r="AU86" s="976" t="e">
        <f>IF(#REF!="","",#REF!)</f>
        <v>#REF!</v>
      </c>
      <c r="AV86" s="977" t="e">
        <f>IF(#REF!="","",#REF!)</f>
        <v>#REF!</v>
      </c>
      <c r="AW86" s="1040" t="e">
        <f>IF(#REF!="","",#REF!)</f>
        <v>#REF!</v>
      </c>
      <c r="AX86" s="987" t="e">
        <f>IF(#REF!="","",#REF!)</f>
        <v>#REF!</v>
      </c>
    </row>
    <row r="87" spans="11:50">
      <c r="K87" s="40"/>
      <c r="L87" s="9"/>
      <c r="M87" s="9"/>
      <c r="N87" s="9"/>
      <c r="O87" s="9" t="str">
        <f>IFERROR(IF(예산업로드양식!E82="","",IF(예산업로드양식!F82="06",예산업로드양식!E82,"")),"")</f>
        <v/>
      </c>
      <c r="P87" s="10" t="str">
        <f>IFERROR(IF(예산업로드양식!H82="","",IF(예산업로드양식!F82="06",예산업로드양식!H82,"")),"")</f>
        <v/>
      </c>
      <c r="Q87" s="10" t="str">
        <f t="shared" si="2"/>
        <v/>
      </c>
      <c r="R87" s="10"/>
      <c r="S87" s="165"/>
      <c r="T87" s="40"/>
      <c r="U87" s="9"/>
      <c r="V87" s="9"/>
      <c r="W87" s="9"/>
      <c r="X87" s="9" t="str">
        <f>IFERROR(IF(예산업로드양식!E82="","",IF(예산업로드양식!F82="07",예산업로드양식!E82,"")),"")</f>
        <v/>
      </c>
      <c r="Y87" s="10" t="str">
        <f>IFERROR(IF(예산업로드양식!H82="","",IF(예산업로드양식!F82="07",예산업로드양식!H82,"")),"")</f>
        <v/>
      </c>
      <c r="Z87" s="10" t="str">
        <f t="shared" si="3"/>
        <v/>
      </c>
      <c r="AA87" s="10"/>
      <c r="AB87" s="165"/>
      <c r="AC87" s="40"/>
      <c r="AD87" s="9"/>
      <c r="AE87" s="9"/>
      <c r="AF87" s="9"/>
      <c r="AG87" s="9" t="str">
        <f>IFERROR(IF(예산업로드양식!E82="","",IF(예산업로드양식!F82="05",예산업로드양식!E82,"")),"")</f>
        <v/>
      </c>
      <c r="AH87" s="10" t="str">
        <f>IFERROR(IF(예산업로드양식!H82="","",IF(예산업로드양식!F82="05",예산업로드양식!H82,"")),"")</f>
        <v/>
      </c>
      <c r="AI87" s="10"/>
      <c r="AJ87" s="10"/>
      <c r="AL87" s="1035" t="e">
        <f>IF(#REF!="","",#REF!)</f>
        <v>#REF!</v>
      </c>
      <c r="AM87" s="1036" t="e">
        <f>IF(#REF!="","",#REF!)</f>
        <v>#REF!</v>
      </c>
      <c r="AN87" s="1037" t="e">
        <f>IF(AND(#REF!="",#REF!=1),"",#REF!)</f>
        <v>#REF!</v>
      </c>
      <c r="AO87" s="1038" t="e">
        <f>IF(#REF!="","",#REF!)</f>
        <v>#REF!</v>
      </c>
      <c r="AP87" s="971" t="e">
        <f>IF(#REF!="","",#REF!)</f>
        <v>#REF!</v>
      </c>
      <c r="AQ87" s="1039" t="e">
        <f>IF(#REF!="","",#REF!)</f>
        <v>#REF!</v>
      </c>
      <c r="AR87" s="973" t="e">
        <f>IF(#REF!="","",#REF!)</f>
        <v>#REF!</v>
      </c>
      <c r="AS87" s="974" t="e">
        <f>IF(#REF!="","",#REF!)</f>
        <v>#REF!</v>
      </c>
      <c r="AT87" s="975" t="e">
        <f>IF(#REF!="","",#REF!)</f>
        <v>#REF!</v>
      </c>
      <c r="AU87" s="976" t="e">
        <f>IF(#REF!="","",#REF!)</f>
        <v>#REF!</v>
      </c>
      <c r="AV87" s="977" t="e">
        <f>IF(#REF!="","",#REF!)</f>
        <v>#REF!</v>
      </c>
      <c r="AW87" s="1040" t="e">
        <f>IF(#REF!="","",#REF!)</f>
        <v>#REF!</v>
      </c>
      <c r="AX87" s="987" t="e">
        <f>IF(#REF!="","",#REF!)</f>
        <v>#REF!</v>
      </c>
    </row>
    <row r="88" spans="11:50">
      <c r="K88" s="41"/>
      <c r="L88" s="11"/>
      <c r="M88" s="11"/>
      <c r="N88" s="11"/>
      <c r="O88" s="11" t="str">
        <f>IFERROR(IF(예산업로드양식!E83="","",IF(예산업로드양식!F83="06",예산업로드양식!E83,"")),"")</f>
        <v/>
      </c>
      <c r="P88" s="12" t="str">
        <f>IFERROR(IF(예산업로드양식!H83="","",IF(예산업로드양식!F83="06",예산업로드양식!H83,"")),"")</f>
        <v/>
      </c>
      <c r="Q88" s="6" t="str">
        <f t="shared" si="2"/>
        <v/>
      </c>
      <c r="R88" s="12"/>
      <c r="S88" s="165"/>
      <c r="T88" s="41"/>
      <c r="U88" s="11"/>
      <c r="V88" s="11"/>
      <c r="W88" s="11"/>
      <c r="X88" s="11" t="str">
        <f>IFERROR(IF(예산업로드양식!E83="","",IF(예산업로드양식!F83="07",예산업로드양식!E83,"")),"")</f>
        <v/>
      </c>
      <c r="Y88" s="12" t="str">
        <f>IFERROR(IF(예산업로드양식!H83="","",IF(예산업로드양식!F83="07",예산업로드양식!H83,"")),"")</f>
        <v/>
      </c>
      <c r="Z88" s="6" t="str">
        <f t="shared" si="3"/>
        <v/>
      </c>
      <c r="AA88" s="12"/>
      <c r="AB88" s="165"/>
      <c r="AC88" s="41"/>
      <c r="AD88" s="11"/>
      <c r="AE88" s="11"/>
      <c r="AF88" s="11"/>
      <c r="AG88" s="11" t="str">
        <f>IFERROR(IF(예산업로드양식!E83="","",IF(예산업로드양식!F83="05",예산업로드양식!E83,"")),"")</f>
        <v/>
      </c>
      <c r="AH88" s="12" t="str">
        <f>IFERROR(IF(예산업로드양식!H83="","",IF(예산업로드양식!F83="05",예산업로드양식!H83,"")),"")</f>
        <v/>
      </c>
      <c r="AI88" s="12"/>
      <c r="AJ88" s="12"/>
      <c r="AL88" s="1035" t="e">
        <f>IF(#REF!="","",#REF!)</f>
        <v>#REF!</v>
      </c>
      <c r="AM88" s="1036" t="e">
        <f>IF(#REF!="","",#REF!)</f>
        <v>#REF!</v>
      </c>
      <c r="AN88" s="1037" t="e">
        <f>IF(AND(#REF!="",#REF!=1),"",#REF!)</f>
        <v>#REF!</v>
      </c>
      <c r="AO88" s="1038" t="e">
        <f>IF(#REF!="","",#REF!)</f>
        <v>#REF!</v>
      </c>
      <c r="AP88" s="971" t="e">
        <f>IF(#REF!="","",#REF!)</f>
        <v>#REF!</v>
      </c>
      <c r="AQ88" s="1039" t="e">
        <f>IF(#REF!="","",#REF!)</f>
        <v>#REF!</v>
      </c>
      <c r="AR88" s="973" t="e">
        <f>IF(#REF!="","",#REF!)</f>
        <v>#REF!</v>
      </c>
      <c r="AS88" s="974" t="e">
        <f>IF(#REF!="","",#REF!)</f>
        <v>#REF!</v>
      </c>
      <c r="AT88" s="975" t="e">
        <f>IF(#REF!="","",#REF!)</f>
        <v>#REF!</v>
      </c>
      <c r="AU88" s="976" t="e">
        <f>IF(#REF!="","",#REF!)</f>
        <v>#REF!</v>
      </c>
      <c r="AV88" s="977" t="e">
        <f>IF(#REF!="","",#REF!)</f>
        <v>#REF!</v>
      </c>
      <c r="AW88" s="1040" t="e">
        <f>IF(#REF!="","",#REF!)</f>
        <v>#REF!</v>
      </c>
      <c r="AX88" s="987" t="e">
        <f>IF(#REF!="","",#REF!)</f>
        <v>#REF!</v>
      </c>
    </row>
    <row r="89" spans="11:50">
      <c r="K89" s="40"/>
      <c r="L89" s="9"/>
      <c r="M89" s="9"/>
      <c r="N89" s="9"/>
      <c r="O89" s="9" t="str">
        <f>IFERROR(IF(예산업로드양식!E84="","",IF(예산업로드양식!F84="06",예산업로드양식!E84,"")),"")</f>
        <v/>
      </c>
      <c r="P89" s="10" t="str">
        <f>IFERROR(IF(예산업로드양식!H84="","",IF(예산업로드양식!F84="06",예산업로드양식!H84,"")),"")</f>
        <v/>
      </c>
      <c r="Q89" s="10" t="str">
        <f t="shared" si="2"/>
        <v/>
      </c>
      <c r="R89" s="10"/>
      <c r="S89" s="165"/>
      <c r="T89" s="40"/>
      <c r="U89" s="9"/>
      <c r="V89" s="9"/>
      <c r="W89" s="9"/>
      <c r="X89" s="9" t="str">
        <f>IFERROR(IF(예산업로드양식!E84="","",IF(예산업로드양식!F84="07",예산업로드양식!E84,"")),"")</f>
        <v/>
      </c>
      <c r="Y89" s="10" t="str">
        <f>IFERROR(IF(예산업로드양식!H84="","",IF(예산업로드양식!F84="07",예산업로드양식!H84,"")),"")</f>
        <v/>
      </c>
      <c r="Z89" s="10" t="str">
        <f t="shared" si="3"/>
        <v/>
      </c>
      <c r="AA89" s="10"/>
      <c r="AB89" s="165"/>
      <c r="AC89" s="40"/>
      <c r="AD89" s="9"/>
      <c r="AE89" s="9"/>
      <c r="AF89" s="9"/>
      <c r="AG89" s="9" t="str">
        <f>IFERROR(IF(예산업로드양식!E84="","",IF(예산업로드양식!F84="05",예산업로드양식!E84,"")),"")</f>
        <v/>
      </c>
      <c r="AH89" s="10" t="str">
        <f>IFERROR(IF(예산업로드양식!H84="","",IF(예산업로드양식!F84="05",예산업로드양식!H84,"")),"")</f>
        <v/>
      </c>
      <c r="AI89" s="10"/>
      <c r="AJ89" s="10"/>
      <c r="AL89" s="1035" t="e">
        <f>IF(#REF!="","",#REF!)</f>
        <v>#REF!</v>
      </c>
      <c r="AM89" s="1036" t="e">
        <f>IF(#REF!="","",#REF!)</f>
        <v>#REF!</v>
      </c>
      <c r="AN89" s="1037" t="e">
        <f>IF(AND(#REF!="",#REF!=1),"",#REF!)</f>
        <v>#REF!</v>
      </c>
      <c r="AO89" s="1038" t="e">
        <f>IF(#REF!="","",#REF!)</f>
        <v>#REF!</v>
      </c>
      <c r="AP89" s="971" t="e">
        <f>IF(#REF!="","",#REF!)</f>
        <v>#REF!</v>
      </c>
      <c r="AQ89" s="1039" t="e">
        <f>IF(#REF!="","",#REF!)</f>
        <v>#REF!</v>
      </c>
      <c r="AR89" s="973" t="e">
        <f>IF(#REF!="","",#REF!)</f>
        <v>#REF!</v>
      </c>
      <c r="AS89" s="974" t="e">
        <f>IF(#REF!="","",#REF!)</f>
        <v>#REF!</v>
      </c>
      <c r="AT89" s="975" t="e">
        <f>IF(#REF!="","",#REF!)</f>
        <v>#REF!</v>
      </c>
      <c r="AU89" s="976" t="e">
        <f>IF(#REF!="","",#REF!)</f>
        <v>#REF!</v>
      </c>
      <c r="AV89" s="977" t="e">
        <f>IF(#REF!="","",#REF!)</f>
        <v>#REF!</v>
      </c>
      <c r="AW89" s="1040" t="e">
        <f>IF(#REF!="","",#REF!)</f>
        <v>#REF!</v>
      </c>
      <c r="AX89" s="987" t="e">
        <f>IF(#REF!="","",#REF!)</f>
        <v>#REF!</v>
      </c>
    </row>
    <row r="90" spans="11:50">
      <c r="K90" s="41"/>
      <c r="L90" s="11"/>
      <c r="M90" s="11"/>
      <c r="N90" s="11"/>
      <c r="O90" s="11" t="str">
        <f>IFERROR(IF(예산업로드양식!E85="","",IF(예산업로드양식!F85="06",예산업로드양식!E85,"")),"")</f>
        <v/>
      </c>
      <c r="P90" s="12" t="str">
        <f>IFERROR(IF(예산업로드양식!H85="","",IF(예산업로드양식!F85="06",예산업로드양식!H85,"")),"")</f>
        <v/>
      </c>
      <c r="Q90" s="6" t="str">
        <f t="shared" si="2"/>
        <v/>
      </c>
      <c r="R90" s="12"/>
      <c r="S90" s="165"/>
      <c r="T90" s="41"/>
      <c r="U90" s="11"/>
      <c r="V90" s="11"/>
      <c r="W90" s="11"/>
      <c r="X90" s="11" t="str">
        <f>IFERROR(IF(예산업로드양식!E85="","",IF(예산업로드양식!F85="07",예산업로드양식!E85,"")),"")</f>
        <v/>
      </c>
      <c r="Y90" s="12" t="str">
        <f>IFERROR(IF(예산업로드양식!H85="","",IF(예산업로드양식!F85="07",예산업로드양식!H85,"")),"")</f>
        <v/>
      </c>
      <c r="Z90" s="6" t="str">
        <f t="shared" si="3"/>
        <v/>
      </c>
      <c r="AA90" s="12"/>
      <c r="AB90" s="165"/>
      <c r="AC90" s="41"/>
      <c r="AD90" s="11"/>
      <c r="AE90" s="11"/>
      <c r="AF90" s="11"/>
      <c r="AG90" s="11" t="str">
        <f>IFERROR(IF(예산업로드양식!E85="","",IF(예산업로드양식!F85="05",예산업로드양식!E85,"")),"")</f>
        <v/>
      </c>
      <c r="AH90" s="12" t="str">
        <f>IFERROR(IF(예산업로드양식!H85="","",IF(예산업로드양식!F85="05",예산업로드양식!H85,"")),"")</f>
        <v/>
      </c>
      <c r="AI90" s="12"/>
      <c r="AJ90" s="12"/>
      <c r="AL90" s="1035" t="e">
        <f>IF(#REF!="","",#REF!)</f>
        <v>#REF!</v>
      </c>
      <c r="AM90" s="1036" t="e">
        <f>IF(#REF!="","",#REF!)</f>
        <v>#REF!</v>
      </c>
      <c r="AN90" s="1037" t="e">
        <f>IF(AND(#REF!="",#REF!=1),"",#REF!)</f>
        <v>#REF!</v>
      </c>
      <c r="AO90" s="1038" t="e">
        <f>IF(#REF!="","",#REF!)</f>
        <v>#REF!</v>
      </c>
      <c r="AP90" s="971" t="e">
        <f>IF(#REF!="","",#REF!)</f>
        <v>#REF!</v>
      </c>
      <c r="AQ90" s="1039" t="e">
        <f>IF(#REF!="","",#REF!)</f>
        <v>#REF!</v>
      </c>
      <c r="AR90" s="973" t="e">
        <f>IF(#REF!="","",#REF!)</f>
        <v>#REF!</v>
      </c>
      <c r="AS90" s="974" t="e">
        <f>IF(#REF!="","",#REF!)</f>
        <v>#REF!</v>
      </c>
      <c r="AT90" s="975" t="e">
        <f>IF(#REF!="","",#REF!)</f>
        <v>#REF!</v>
      </c>
      <c r="AU90" s="976" t="e">
        <f>IF(#REF!="","",#REF!)</f>
        <v>#REF!</v>
      </c>
      <c r="AV90" s="977" t="e">
        <f>IF(#REF!="","",#REF!)</f>
        <v>#REF!</v>
      </c>
      <c r="AW90" s="1040" t="e">
        <f>IF(#REF!="","",#REF!)</f>
        <v>#REF!</v>
      </c>
      <c r="AX90" s="987" t="e">
        <f>IF(#REF!="","",#REF!)</f>
        <v>#REF!</v>
      </c>
    </row>
    <row r="91" spans="11:50">
      <c r="K91" s="40"/>
      <c r="L91" s="9"/>
      <c r="M91" s="9"/>
      <c r="N91" s="9"/>
      <c r="O91" s="9" t="str">
        <f>IFERROR(IF(예산업로드양식!E86="","",IF(예산업로드양식!F86="06",예산업로드양식!E86,"")),"")</f>
        <v/>
      </c>
      <c r="P91" s="10" t="str">
        <f>IFERROR(IF(예산업로드양식!H86="","",IF(예산업로드양식!F86="06",예산업로드양식!H86,"")),"")</f>
        <v/>
      </c>
      <c r="Q91" s="10" t="str">
        <f t="shared" si="2"/>
        <v/>
      </c>
      <c r="R91" s="10"/>
      <c r="S91" s="165"/>
      <c r="T91" s="40"/>
      <c r="U91" s="9"/>
      <c r="V91" s="9"/>
      <c r="W91" s="9"/>
      <c r="X91" s="9" t="str">
        <f>IFERROR(IF(예산업로드양식!E86="","",IF(예산업로드양식!F86="07",예산업로드양식!E86,"")),"")</f>
        <v/>
      </c>
      <c r="Y91" s="10" t="str">
        <f>IFERROR(IF(예산업로드양식!H86="","",IF(예산업로드양식!F86="07",예산업로드양식!H86,"")),"")</f>
        <v/>
      </c>
      <c r="Z91" s="10" t="str">
        <f t="shared" si="3"/>
        <v/>
      </c>
      <c r="AA91" s="10"/>
      <c r="AB91" s="165"/>
      <c r="AC91" s="40"/>
      <c r="AD91" s="9"/>
      <c r="AE91" s="9"/>
      <c r="AF91" s="9"/>
      <c r="AG91" s="9" t="str">
        <f>IFERROR(IF(예산업로드양식!E86="","",IF(예산업로드양식!F86="05",예산업로드양식!E86,"")),"")</f>
        <v/>
      </c>
      <c r="AH91" s="10" t="str">
        <f>IFERROR(IF(예산업로드양식!H86="","",IF(예산업로드양식!F86="05",예산업로드양식!H86,"")),"")</f>
        <v/>
      </c>
      <c r="AI91" s="10"/>
      <c r="AJ91" s="10"/>
      <c r="AL91" s="1035" t="e">
        <f>IF(#REF!="","",#REF!)</f>
        <v>#REF!</v>
      </c>
      <c r="AM91" s="1036" t="e">
        <f>IF(#REF!="","",#REF!)</f>
        <v>#REF!</v>
      </c>
      <c r="AN91" s="1037" t="e">
        <f>IF(AND(#REF!="",#REF!=1),"",#REF!)</f>
        <v>#REF!</v>
      </c>
      <c r="AO91" s="1038" t="e">
        <f>IF(#REF!="","",#REF!)</f>
        <v>#REF!</v>
      </c>
      <c r="AP91" s="971" t="e">
        <f>IF(#REF!="","",#REF!)</f>
        <v>#REF!</v>
      </c>
      <c r="AQ91" s="1039" t="e">
        <f>IF(#REF!="","",#REF!)</f>
        <v>#REF!</v>
      </c>
      <c r="AR91" s="973" t="e">
        <f>IF(#REF!="","",#REF!)</f>
        <v>#REF!</v>
      </c>
      <c r="AS91" s="974" t="e">
        <f>IF(#REF!="","",#REF!)</f>
        <v>#REF!</v>
      </c>
      <c r="AT91" s="975" t="e">
        <f>IF(#REF!="","",#REF!)</f>
        <v>#REF!</v>
      </c>
      <c r="AU91" s="976" t="e">
        <f>IF(#REF!="","",#REF!)</f>
        <v>#REF!</v>
      </c>
      <c r="AV91" s="977" t="e">
        <f>IF(#REF!="","",#REF!)</f>
        <v>#REF!</v>
      </c>
      <c r="AW91" s="1040" t="e">
        <f>IF(#REF!="","",#REF!)</f>
        <v>#REF!</v>
      </c>
      <c r="AX91" s="987" t="e">
        <f>IF(#REF!="","",#REF!)</f>
        <v>#REF!</v>
      </c>
    </row>
    <row r="92" spans="11:50">
      <c r="K92" s="41"/>
      <c r="L92" s="11"/>
      <c r="M92" s="11"/>
      <c r="N92" s="11"/>
      <c r="O92" s="11" t="str">
        <f>IFERROR(IF(예산업로드양식!E87="","",IF(예산업로드양식!F87="06",예산업로드양식!E87,"")),"")</f>
        <v/>
      </c>
      <c r="P92" s="12" t="str">
        <f>IFERROR(IF(예산업로드양식!H87="","",IF(예산업로드양식!F87="06",예산업로드양식!H87,"")),"")</f>
        <v/>
      </c>
      <c r="Q92" s="6" t="str">
        <f t="shared" si="2"/>
        <v/>
      </c>
      <c r="R92" s="12"/>
      <c r="S92" s="165"/>
      <c r="T92" s="41"/>
      <c r="U92" s="11"/>
      <c r="V92" s="11"/>
      <c r="W92" s="11"/>
      <c r="X92" s="11" t="str">
        <f>IFERROR(IF(예산업로드양식!E87="","",IF(예산업로드양식!F87="07",예산업로드양식!E87,"")),"")</f>
        <v/>
      </c>
      <c r="Y92" s="12" t="str">
        <f>IFERROR(IF(예산업로드양식!H87="","",IF(예산업로드양식!F87="07",예산업로드양식!H87,"")),"")</f>
        <v/>
      </c>
      <c r="Z92" s="6" t="str">
        <f t="shared" si="3"/>
        <v/>
      </c>
      <c r="AA92" s="12"/>
      <c r="AB92" s="165"/>
      <c r="AC92" s="41"/>
      <c r="AD92" s="11"/>
      <c r="AE92" s="11"/>
      <c r="AF92" s="11"/>
      <c r="AG92" s="11" t="str">
        <f>IFERROR(IF(예산업로드양식!E87="","",IF(예산업로드양식!F87="05",예산업로드양식!E87,"")),"")</f>
        <v/>
      </c>
      <c r="AH92" s="12" t="str">
        <f>IFERROR(IF(예산업로드양식!H87="","",IF(예산업로드양식!F87="05",예산업로드양식!H87,"")),"")</f>
        <v/>
      </c>
      <c r="AI92" s="12"/>
      <c r="AJ92" s="12"/>
      <c r="AL92" s="1035" t="e">
        <f>IF(#REF!="","",#REF!)</f>
        <v>#REF!</v>
      </c>
      <c r="AM92" s="1036" t="e">
        <f>IF(#REF!="","",#REF!)</f>
        <v>#REF!</v>
      </c>
      <c r="AN92" s="1037" t="e">
        <f>IF(AND(#REF!="",#REF!=1),"",#REF!)</f>
        <v>#REF!</v>
      </c>
      <c r="AO92" s="1038" t="e">
        <f>IF(#REF!="","",#REF!)</f>
        <v>#REF!</v>
      </c>
      <c r="AP92" s="971" t="e">
        <f>IF(#REF!="","",#REF!)</f>
        <v>#REF!</v>
      </c>
      <c r="AQ92" s="1039" t="e">
        <f>IF(#REF!="","",#REF!)</f>
        <v>#REF!</v>
      </c>
      <c r="AR92" s="973" t="e">
        <f>IF(#REF!="","",#REF!)</f>
        <v>#REF!</v>
      </c>
      <c r="AS92" s="974" t="e">
        <f>IF(#REF!="","",#REF!)</f>
        <v>#REF!</v>
      </c>
      <c r="AT92" s="975" t="e">
        <f>IF(#REF!="","",#REF!)</f>
        <v>#REF!</v>
      </c>
      <c r="AU92" s="976" t="e">
        <f>IF(#REF!="","",#REF!)</f>
        <v>#REF!</v>
      </c>
      <c r="AV92" s="977" t="e">
        <f>IF(#REF!="","",#REF!)</f>
        <v>#REF!</v>
      </c>
      <c r="AW92" s="1040" t="e">
        <f>IF(#REF!="","",#REF!)</f>
        <v>#REF!</v>
      </c>
      <c r="AX92" s="987" t="e">
        <f>IF(#REF!="","",#REF!)</f>
        <v>#REF!</v>
      </c>
    </row>
    <row r="93" spans="11:50">
      <c r="K93" s="40"/>
      <c r="L93" s="9"/>
      <c r="M93" s="9"/>
      <c r="N93" s="9"/>
      <c r="O93" s="9" t="str">
        <f>IFERROR(IF(예산업로드양식!E88="","",IF(예산업로드양식!F88="06",예산업로드양식!E88,"")),"")</f>
        <v/>
      </c>
      <c r="P93" s="10" t="str">
        <f>IFERROR(IF(예산업로드양식!H88="","",IF(예산업로드양식!F88="06",예산업로드양식!H88,"")),"")</f>
        <v/>
      </c>
      <c r="Q93" s="10" t="str">
        <f t="shared" si="2"/>
        <v/>
      </c>
      <c r="R93" s="10"/>
      <c r="S93" s="165"/>
      <c r="T93" s="40"/>
      <c r="U93" s="9"/>
      <c r="V93" s="9"/>
      <c r="W93" s="9"/>
      <c r="X93" s="9" t="str">
        <f>IFERROR(IF(예산업로드양식!E88="","",IF(예산업로드양식!F88="07",예산업로드양식!E88,"")),"")</f>
        <v/>
      </c>
      <c r="Y93" s="10" t="str">
        <f>IFERROR(IF(예산업로드양식!H88="","",IF(예산업로드양식!F88="07",예산업로드양식!H88,"")),"")</f>
        <v/>
      </c>
      <c r="Z93" s="10" t="str">
        <f t="shared" si="3"/>
        <v/>
      </c>
      <c r="AA93" s="10"/>
      <c r="AB93" s="165"/>
      <c r="AC93" s="40"/>
      <c r="AD93" s="9"/>
      <c r="AE93" s="9"/>
      <c r="AF93" s="9"/>
      <c r="AG93" s="9" t="str">
        <f>IFERROR(IF(예산업로드양식!E88="","",IF(예산업로드양식!F88="05",예산업로드양식!E88,"")),"")</f>
        <v/>
      </c>
      <c r="AH93" s="10" t="str">
        <f>IFERROR(IF(예산업로드양식!H88="","",IF(예산업로드양식!F88="05",예산업로드양식!H88,"")),"")</f>
        <v/>
      </c>
      <c r="AI93" s="10"/>
      <c r="AJ93" s="10"/>
      <c r="AL93" s="1035" t="e">
        <f>IF(#REF!="","",#REF!)</f>
        <v>#REF!</v>
      </c>
      <c r="AM93" s="1036" t="e">
        <f>IF(#REF!="","",#REF!)</f>
        <v>#REF!</v>
      </c>
      <c r="AN93" s="1037" t="e">
        <f>IF(AND(#REF!="",#REF!=1),"",#REF!)</f>
        <v>#REF!</v>
      </c>
      <c r="AO93" s="1038" t="e">
        <f>IF(#REF!="","",#REF!)</f>
        <v>#REF!</v>
      </c>
      <c r="AP93" s="971" t="e">
        <f>IF(#REF!="","",#REF!)</f>
        <v>#REF!</v>
      </c>
      <c r="AQ93" s="1039" t="e">
        <f>IF(#REF!="","",#REF!)</f>
        <v>#REF!</v>
      </c>
      <c r="AR93" s="973" t="e">
        <f>IF(#REF!="","",#REF!)</f>
        <v>#REF!</v>
      </c>
      <c r="AS93" s="974" t="e">
        <f>IF(#REF!="","",#REF!)</f>
        <v>#REF!</v>
      </c>
      <c r="AT93" s="975" t="e">
        <f>IF(#REF!="","",#REF!)</f>
        <v>#REF!</v>
      </c>
      <c r="AU93" s="976" t="e">
        <f>IF(#REF!="","",#REF!)</f>
        <v>#REF!</v>
      </c>
      <c r="AV93" s="977" t="e">
        <f>IF(#REF!="","",#REF!)</f>
        <v>#REF!</v>
      </c>
      <c r="AW93" s="1040" t="e">
        <f>IF(#REF!="","",#REF!)</f>
        <v>#REF!</v>
      </c>
      <c r="AX93" s="987" t="e">
        <f>IF(#REF!="","",#REF!)</f>
        <v>#REF!</v>
      </c>
    </row>
    <row r="94" spans="11:50">
      <c r="K94" s="41"/>
      <c r="L94" s="11"/>
      <c r="M94" s="11"/>
      <c r="N94" s="11"/>
      <c r="O94" s="11" t="str">
        <f>IFERROR(IF(예산업로드양식!E89="","",IF(예산업로드양식!F89="06",예산업로드양식!E89,"")),"")</f>
        <v/>
      </c>
      <c r="P94" s="12" t="str">
        <f>IFERROR(IF(예산업로드양식!H89="","",IF(예산업로드양식!F89="06",예산업로드양식!H89,"")),"")</f>
        <v/>
      </c>
      <c r="Q94" s="6" t="str">
        <f t="shared" si="2"/>
        <v/>
      </c>
      <c r="R94" s="12"/>
      <c r="S94" s="165"/>
      <c r="T94" s="41"/>
      <c r="U94" s="11"/>
      <c r="V94" s="11"/>
      <c r="W94" s="11"/>
      <c r="X94" s="11" t="str">
        <f>IFERROR(IF(예산업로드양식!E89="","",IF(예산업로드양식!F89="07",예산업로드양식!E89,"")),"")</f>
        <v/>
      </c>
      <c r="Y94" s="12" t="str">
        <f>IFERROR(IF(예산업로드양식!H89="","",IF(예산업로드양식!F89="07",예산업로드양식!H89,"")),"")</f>
        <v/>
      </c>
      <c r="Z94" s="6" t="str">
        <f t="shared" si="3"/>
        <v/>
      </c>
      <c r="AA94" s="12"/>
      <c r="AB94" s="165"/>
      <c r="AC94" s="41"/>
      <c r="AD94" s="11"/>
      <c r="AE94" s="11"/>
      <c r="AF94" s="11"/>
      <c r="AG94" s="11" t="str">
        <f>IFERROR(IF(예산업로드양식!E89="","",IF(예산업로드양식!F89="05",예산업로드양식!E89,"")),"")</f>
        <v/>
      </c>
      <c r="AH94" s="12" t="str">
        <f>IFERROR(IF(예산업로드양식!H89="","",IF(예산업로드양식!F89="05",예산업로드양식!H89,"")),"")</f>
        <v/>
      </c>
      <c r="AI94" s="12"/>
      <c r="AJ94" s="12"/>
      <c r="AL94" s="1035" t="e">
        <f>IF(#REF!="","",#REF!)</f>
        <v>#REF!</v>
      </c>
      <c r="AM94" s="1036" t="e">
        <f>IF(#REF!="","",#REF!)</f>
        <v>#REF!</v>
      </c>
      <c r="AN94" s="1037" t="e">
        <f>IF(AND(#REF!="",#REF!=1),"",#REF!)</f>
        <v>#REF!</v>
      </c>
      <c r="AO94" s="1038" t="e">
        <f>IF(#REF!="","",#REF!)</f>
        <v>#REF!</v>
      </c>
      <c r="AP94" s="971" t="e">
        <f>IF(#REF!="","",#REF!)</f>
        <v>#REF!</v>
      </c>
      <c r="AQ94" s="1039" t="e">
        <f>IF(#REF!="","",#REF!)</f>
        <v>#REF!</v>
      </c>
      <c r="AR94" s="973" t="e">
        <f>IF(#REF!="","",#REF!)</f>
        <v>#REF!</v>
      </c>
      <c r="AS94" s="974" t="e">
        <f>IF(#REF!="","",#REF!)</f>
        <v>#REF!</v>
      </c>
      <c r="AT94" s="975" t="e">
        <f>IF(#REF!="","",#REF!)</f>
        <v>#REF!</v>
      </c>
      <c r="AU94" s="976" t="e">
        <f>IF(#REF!="","",#REF!)</f>
        <v>#REF!</v>
      </c>
      <c r="AV94" s="977" t="e">
        <f>IF(#REF!="","",#REF!)</f>
        <v>#REF!</v>
      </c>
      <c r="AW94" s="1040" t="e">
        <f>IF(#REF!="","",#REF!)</f>
        <v>#REF!</v>
      </c>
      <c r="AX94" s="987" t="e">
        <f>IF(#REF!="","",#REF!)</f>
        <v>#REF!</v>
      </c>
    </row>
    <row r="95" spans="11:50">
      <c r="K95" s="40"/>
      <c r="L95" s="9"/>
      <c r="M95" s="9"/>
      <c r="N95" s="9"/>
      <c r="O95" s="9" t="str">
        <f>IFERROR(IF(예산업로드양식!E90="","",IF(예산업로드양식!F90="06",예산업로드양식!E90,"")),"")</f>
        <v/>
      </c>
      <c r="P95" s="10" t="str">
        <f>IFERROR(IF(예산업로드양식!H90="","",IF(예산업로드양식!F90="06",예산업로드양식!H90,"")),"")</f>
        <v/>
      </c>
      <c r="Q95" s="10" t="str">
        <f t="shared" si="2"/>
        <v/>
      </c>
      <c r="R95" s="10"/>
      <c r="S95" s="165"/>
      <c r="T95" s="40"/>
      <c r="U95" s="9"/>
      <c r="V95" s="9"/>
      <c r="W95" s="9"/>
      <c r="X95" s="9" t="str">
        <f>IFERROR(IF(예산업로드양식!E90="","",IF(예산업로드양식!F90="07",예산업로드양식!E90,"")),"")</f>
        <v/>
      </c>
      <c r="Y95" s="10" t="str">
        <f>IFERROR(IF(예산업로드양식!H90="","",IF(예산업로드양식!F90="07",예산업로드양식!H90,"")),"")</f>
        <v/>
      </c>
      <c r="Z95" s="10" t="str">
        <f t="shared" si="3"/>
        <v/>
      </c>
      <c r="AA95" s="10"/>
      <c r="AB95" s="165"/>
      <c r="AC95" s="40"/>
      <c r="AD95" s="9"/>
      <c r="AE95" s="9"/>
      <c r="AF95" s="9"/>
      <c r="AG95" s="9" t="str">
        <f>IFERROR(IF(예산업로드양식!E90="","",IF(예산업로드양식!F90="05",예산업로드양식!E90,"")),"")</f>
        <v/>
      </c>
      <c r="AH95" s="10" t="str">
        <f>IFERROR(IF(예산업로드양식!H90="","",IF(예산업로드양식!F90="05",예산업로드양식!H90,"")),"")</f>
        <v/>
      </c>
      <c r="AI95" s="10"/>
      <c r="AJ95" s="10"/>
      <c r="AL95" s="1035" t="e">
        <f>IF(#REF!="","",#REF!)</f>
        <v>#REF!</v>
      </c>
      <c r="AM95" s="1036" t="e">
        <f>IF(#REF!="","",#REF!)</f>
        <v>#REF!</v>
      </c>
      <c r="AN95" s="1037" t="e">
        <f>IF(AND(#REF!="",#REF!=1),"",#REF!)</f>
        <v>#REF!</v>
      </c>
      <c r="AO95" s="1038" t="e">
        <f>IF(#REF!="","",#REF!)</f>
        <v>#REF!</v>
      </c>
      <c r="AP95" s="971" t="e">
        <f>IF(#REF!="","",#REF!)</f>
        <v>#REF!</v>
      </c>
      <c r="AQ95" s="1039" t="e">
        <f>IF(#REF!="","",#REF!)</f>
        <v>#REF!</v>
      </c>
      <c r="AR95" s="973" t="e">
        <f>IF(#REF!="","",#REF!)</f>
        <v>#REF!</v>
      </c>
      <c r="AS95" s="974" t="e">
        <f>IF(#REF!="","",#REF!)</f>
        <v>#REF!</v>
      </c>
      <c r="AT95" s="975" t="e">
        <f>IF(#REF!="","",#REF!)</f>
        <v>#REF!</v>
      </c>
      <c r="AU95" s="976" t="e">
        <f>IF(#REF!="","",#REF!)</f>
        <v>#REF!</v>
      </c>
      <c r="AV95" s="977" t="e">
        <f>IF(#REF!="","",#REF!)</f>
        <v>#REF!</v>
      </c>
      <c r="AW95" s="1040" t="e">
        <f>IF(#REF!="","",#REF!)</f>
        <v>#REF!</v>
      </c>
      <c r="AX95" s="987" t="e">
        <f>IF(#REF!="","",#REF!)</f>
        <v>#REF!</v>
      </c>
    </row>
    <row r="96" spans="11:50">
      <c r="K96" s="41"/>
      <c r="L96" s="11"/>
      <c r="M96" s="11"/>
      <c r="N96" s="11"/>
      <c r="O96" s="11" t="str">
        <f>IFERROR(IF(예산업로드양식!E91="","",IF(예산업로드양식!F91="06",예산업로드양식!E91,"")),"")</f>
        <v/>
      </c>
      <c r="P96" s="12" t="str">
        <f>IFERROR(IF(예산업로드양식!H91="","",IF(예산업로드양식!F91="06",예산업로드양식!H91,"")),"")</f>
        <v/>
      </c>
      <c r="Q96" s="6" t="str">
        <f t="shared" si="2"/>
        <v/>
      </c>
      <c r="R96" s="12"/>
      <c r="S96" s="165"/>
      <c r="T96" s="41"/>
      <c r="U96" s="11"/>
      <c r="V96" s="11"/>
      <c r="W96" s="11"/>
      <c r="X96" s="11" t="str">
        <f>IFERROR(IF(예산업로드양식!E91="","",IF(예산업로드양식!F91="07",예산업로드양식!E91,"")),"")</f>
        <v/>
      </c>
      <c r="Y96" s="12" t="str">
        <f>IFERROR(IF(예산업로드양식!H91="","",IF(예산업로드양식!F91="07",예산업로드양식!H91,"")),"")</f>
        <v/>
      </c>
      <c r="Z96" s="6" t="str">
        <f t="shared" si="3"/>
        <v/>
      </c>
      <c r="AA96" s="12"/>
      <c r="AB96" s="165"/>
      <c r="AC96" s="41"/>
      <c r="AD96" s="11"/>
      <c r="AE96" s="11"/>
      <c r="AF96" s="11"/>
      <c r="AG96" s="11" t="str">
        <f>IFERROR(IF(예산업로드양식!E91="","",IF(예산업로드양식!F91="05",예산업로드양식!E91,"")),"")</f>
        <v/>
      </c>
      <c r="AH96" s="12" t="str">
        <f>IFERROR(IF(예산업로드양식!H91="","",IF(예산업로드양식!F91="05",예산업로드양식!H91,"")),"")</f>
        <v/>
      </c>
      <c r="AI96" s="12"/>
      <c r="AJ96" s="12"/>
      <c r="AL96" s="1035" t="e">
        <f>IF(#REF!="","",#REF!)</f>
        <v>#REF!</v>
      </c>
      <c r="AM96" s="1036" t="e">
        <f>IF(#REF!="","",#REF!)</f>
        <v>#REF!</v>
      </c>
      <c r="AN96" s="1037" t="e">
        <f>IF(AND(#REF!="",#REF!=1),"",#REF!)</f>
        <v>#REF!</v>
      </c>
      <c r="AO96" s="1038" t="e">
        <f>IF(#REF!="","",#REF!)</f>
        <v>#REF!</v>
      </c>
      <c r="AP96" s="971" t="e">
        <f>IF(#REF!="","",#REF!)</f>
        <v>#REF!</v>
      </c>
      <c r="AQ96" s="1039" t="e">
        <f>IF(#REF!="","",#REF!)</f>
        <v>#REF!</v>
      </c>
      <c r="AR96" s="973" t="e">
        <f>IF(#REF!="","",#REF!)</f>
        <v>#REF!</v>
      </c>
      <c r="AS96" s="974" t="e">
        <f>IF(#REF!="","",#REF!)</f>
        <v>#REF!</v>
      </c>
      <c r="AT96" s="975" t="e">
        <f>IF(#REF!="","",#REF!)</f>
        <v>#REF!</v>
      </c>
      <c r="AU96" s="976" t="e">
        <f>IF(#REF!="","",#REF!)</f>
        <v>#REF!</v>
      </c>
      <c r="AV96" s="977" t="e">
        <f>IF(#REF!="","",#REF!)</f>
        <v>#REF!</v>
      </c>
      <c r="AW96" s="1040" t="e">
        <f>IF(#REF!="","",#REF!)</f>
        <v>#REF!</v>
      </c>
      <c r="AX96" s="987" t="e">
        <f>IF(#REF!="","",#REF!)</f>
        <v>#REF!</v>
      </c>
    </row>
    <row r="97" spans="11:50">
      <c r="K97" s="40"/>
      <c r="L97" s="9"/>
      <c r="M97" s="9"/>
      <c r="N97" s="9"/>
      <c r="O97" s="9" t="str">
        <f>IFERROR(IF(예산업로드양식!E92="","",IF(예산업로드양식!F92="06",예산업로드양식!E92,"")),"")</f>
        <v/>
      </c>
      <c r="P97" s="10" t="str">
        <f>IFERROR(IF(예산업로드양식!H92="","",IF(예산업로드양식!F92="06",예산업로드양식!H92,"")),"")</f>
        <v/>
      </c>
      <c r="Q97" s="10" t="str">
        <f t="shared" si="2"/>
        <v/>
      </c>
      <c r="R97" s="10"/>
      <c r="S97" s="165"/>
      <c r="T97" s="40"/>
      <c r="U97" s="9"/>
      <c r="V97" s="9"/>
      <c r="W97" s="9"/>
      <c r="X97" s="9" t="str">
        <f>IFERROR(IF(예산업로드양식!E92="","",IF(예산업로드양식!F92="07",예산업로드양식!E92,"")),"")</f>
        <v/>
      </c>
      <c r="Y97" s="10" t="str">
        <f>IFERROR(IF(예산업로드양식!H92="","",IF(예산업로드양식!F92="07",예산업로드양식!H92,"")),"")</f>
        <v/>
      </c>
      <c r="Z97" s="10" t="str">
        <f t="shared" si="3"/>
        <v/>
      </c>
      <c r="AA97" s="10"/>
      <c r="AB97" s="165"/>
      <c r="AC97" s="40"/>
      <c r="AD97" s="9"/>
      <c r="AE97" s="9"/>
      <c r="AF97" s="9"/>
      <c r="AG97" s="9" t="str">
        <f>IFERROR(IF(예산업로드양식!E92="","",IF(예산업로드양식!F92="05",예산업로드양식!E92,"")),"")</f>
        <v/>
      </c>
      <c r="AH97" s="10" t="str">
        <f>IFERROR(IF(예산업로드양식!H92="","",IF(예산업로드양식!F92="05",예산업로드양식!H92,"")),"")</f>
        <v/>
      </c>
      <c r="AI97" s="10"/>
      <c r="AJ97" s="10"/>
      <c r="AL97" s="1035" t="e">
        <f>IF(#REF!="","",#REF!)</f>
        <v>#REF!</v>
      </c>
      <c r="AM97" s="1036" t="e">
        <f>IF(#REF!="","",#REF!)</f>
        <v>#REF!</v>
      </c>
      <c r="AN97" s="1037" t="e">
        <f>IF(AND(#REF!="",#REF!=1),"",#REF!)</f>
        <v>#REF!</v>
      </c>
      <c r="AO97" s="1038" t="e">
        <f>IF(#REF!="","",#REF!)</f>
        <v>#REF!</v>
      </c>
      <c r="AP97" s="971" t="e">
        <f>IF(#REF!="","",#REF!)</f>
        <v>#REF!</v>
      </c>
      <c r="AQ97" s="1039" t="e">
        <f>IF(#REF!="","",#REF!)</f>
        <v>#REF!</v>
      </c>
      <c r="AR97" s="973" t="e">
        <f>IF(#REF!="","",#REF!)</f>
        <v>#REF!</v>
      </c>
      <c r="AS97" s="974" t="e">
        <f>IF(#REF!="","",#REF!)</f>
        <v>#REF!</v>
      </c>
      <c r="AT97" s="975" t="e">
        <f>IF(#REF!="","",#REF!)</f>
        <v>#REF!</v>
      </c>
      <c r="AU97" s="976" t="e">
        <f>IF(#REF!="","",#REF!)</f>
        <v>#REF!</v>
      </c>
      <c r="AV97" s="977" t="e">
        <f>IF(#REF!="","",#REF!)</f>
        <v>#REF!</v>
      </c>
      <c r="AW97" s="1040" t="e">
        <f>IF(#REF!="","",#REF!)</f>
        <v>#REF!</v>
      </c>
      <c r="AX97" s="987" t="e">
        <f>IF(#REF!="","",#REF!)</f>
        <v>#REF!</v>
      </c>
    </row>
    <row r="98" spans="11:50">
      <c r="K98" s="41"/>
      <c r="L98" s="11"/>
      <c r="M98" s="11"/>
      <c r="N98" s="11"/>
      <c r="O98" s="11" t="str">
        <f>IFERROR(IF(예산업로드양식!E93="","",IF(예산업로드양식!F93="06",예산업로드양식!E93,"")),"")</f>
        <v/>
      </c>
      <c r="P98" s="12" t="str">
        <f>IFERROR(IF(예산업로드양식!H93="","",IF(예산업로드양식!F93="06",예산업로드양식!H93,"")),"")</f>
        <v/>
      </c>
      <c r="Q98" s="6" t="str">
        <f t="shared" si="2"/>
        <v/>
      </c>
      <c r="R98" s="12"/>
      <c r="S98" s="165"/>
      <c r="T98" s="41"/>
      <c r="U98" s="11"/>
      <c r="V98" s="11"/>
      <c r="W98" s="11"/>
      <c r="X98" s="11" t="str">
        <f>IFERROR(IF(예산업로드양식!E93="","",IF(예산업로드양식!F93="07",예산업로드양식!E93,"")),"")</f>
        <v/>
      </c>
      <c r="Y98" s="12" t="str">
        <f>IFERROR(IF(예산업로드양식!H93="","",IF(예산업로드양식!F93="07",예산업로드양식!H93,"")),"")</f>
        <v/>
      </c>
      <c r="Z98" s="6" t="str">
        <f t="shared" si="3"/>
        <v/>
      </c>
      <c r="AA98" s="12"/>
      <c r="AB98" s="165"/>
      <c r="AC98" s="41"/>
      <c r="AD98" s="11"/>
      <c r="AE98" s="11"/>
      <c r="AF98" s="11"/>
      <c r="AG98" s="11" t="str">
        <f>IFERROR(IF(예산업로드양식!E93="","",IF(예산업로드양식!F93="05",예산업로드양식!E93,"")),"")</f>
        <v/>
      </c>
      <c r="AH98" s="12" t="str">
        <f>IFERROR(IF(예산업로드양식!H93="","",IF(예산업로드양식!F93="05",예산업로드양식!H93,"")),"")</f>
        <v/>
      </c>
      <c r="AI98" s="12"/>
      <c r="AJ98" s="12"/>
      <c r="AL98" s="1035" t="e">
        <f>IF(#REF!="","",#REF!)</f>
        <v>#REF!</v>
      </c>
      <c r="AM98" s="1036" t="e">
        <f>IF(#REF!="","",#REF!)</f>
        <v>#REF!</v>
      </c>
      <c r="AN98" s="1037" t="e">
        <f>IF(AND(#REF!="",#REF!=1),"",#REF!)</f>
        <v>#REF!</v>
      </c>
      <c r="AO98" s="1038" t="e">
        <f>IF(#REF!="","",#REF!)</f>
        <v>#REF!</v>
      </c>
      <c r="AP98" s="971" t="e">
        <f>IF(#REF!="","",#REF!)</f>
        <v>#REF!</v>
      </c>
      <c r="AQ98" s="1039" t="e">
        <f>IF(#REF!="","",#REF!)</f>
        <v>#REF!</v>
      </c>
      <c r="AR98" s="973" t="e">
        <f>IF(#REF!="","",#REF!)</f>
        <v>#REF!</v>
      </c>
      <c r="AS98" s="974" t="e">
        <f>IF(#REF!="","",#REF!)</f>
        <v>#REF!</v>
      </c>
      <c r="AT98" s="975" t="e">
        <f>IF(#REF!="","",#REF!)</f>
        <v>#REF!</v>
      </c>
      <c r="AU98" s="976" t="e">
        <f>IF(#REF!="","",#REF!)</f>
        <v>#REF!</v>
      </c>
      <c r="AV98" s="977" t="e">
        <f>IF(#REF!="","",#REF!)</f>
        <v>#REF!</v>
      </c>
      <c r="AW98" s="1040" t="e">
        <f>IF(#REF!="","",#REF!)</f>
        <v>#REF!</v>
      </c>
      <c r="AX98" s="987" t="e">
        <f>IF(#REF!="","",#REF!)</f>
        <v>#REF!</v>
      </c>
    </row>
    <row r="99" spans="11:50">
      <c r="K99" s="40"/>
      <c r="L99" s="9"/>
      <c r="M99" s="9"/>
      <c r="N99" s="9"/>
      <c r="O99" s="9" t="str">
        <f>IFERROR(IF(예산업로드양식!E94="","",IF(예산업로드양식!F94="06",예산업로드양식!E94,"")),"")</f>
        <v/>
      </c>
      <c r="P99" s="10" t="str">
        <f>IFERROR(IF(예산업로드양식!H94="","",IF(예산업로드양식!F94="06",예산업로드양식!H94,"")),"")</f>
        <v/>
      </c>
      <c r="Q99" s="10" t="str">
        <f t="shared" si="2"/>
        <v/>
      </c>
      <c r="R99" s="10"/>
      <c r="S99" s="165"/>
      <c r="T99" s="40"/>
      <c r="U99" s="9"/>
      <c r="V99" s="9"/>
      <c r="W99" s="9"/>
      <c r="X99" s="9" t="str">
        <f>IFERROR(IF(예산업로드양식!E94="","",IF(예산업로드양식!F94="07",예산업로드양식!E94,"")),"")</f>
        <v/>
      </c>
      <c r="Y99" s="10" t="str">
        <f>IFERROR(IF(예산업로드양식!H94="","",IF(예산업로드양식!F94="07",예산업로드양식!H94,"")),"")</f>
        <v/>
      </c>
      <c r="Z99" s="10" t="str">
        <f t="shared" si="3"/>
        <v/>
      </c>
      <c r="AA99" s="10"/>
      <c r="AB99" s="165"/>
      <c r="AC99" s="40"/>
      <c r="AD99" s="9"/>
      <c r="AE99" s="9"/>
      <c r="AF99" s="9"/>
      <c r="AG99" s="9" t="str">
        <f>IFERROR(IF(예산업로드양식!E94="","",IF(예산업로드양식!F94="05",예산업로드양식!E94,"")),"")</f>
        <v/>
      </c>
      <c r="AH99" s="10" t="str">
        <f>IFERROR(IF(예산업로드양식!H94="","",IF(예산업로드양식!F94="05",예산업로드양식!H94,"")),"")</f>
        <v/>
      </c>
      <c r="AI99" s="10"/>
      <c r="AJ99" s="10"/>
      <c r="AL99" s="1035" t="e">
        <f>IF(#REF!="","",#REF!)</f>
        <v>#REF!</v>
      </c>
      <c r="AM99" s="1036" t="e">
        <f>IF(#REF!="","",#REF!)</f>
        <v>#REF!</v>
      </c>
      <c r="AN99" s="1037" t="e">
        <f>IF(AND(#REF!="",#REF!=1),"",#REF!)</f>
        <v>#REF!</v>
      </c>
      <c r="AO99" s="1038" t="e">
        <f>IF(#REF!="","",#REF!)</f>
        <v>#REF!</v>
      </c>
      <c r="AP99" s="971" t="e">
        <f>IF(#REF!="","",#REF!)</f>
        <v>#REF!</v>
      </c>
      <c r="AQ99" s="1039" t="e">
        <f>IF(#REF!="","",#REF!)</f>
        <v>#REF!</v>
      </c>
      <c r="AR99" s="973" t="e">
        <f>IF(#REF!="","",#REF!)</f>
        <v>#REF!</v>
      </c>
      <c r="AS99" s="974" t="e">
        <f>IF(#REF!="","",#REF!)</f>
        <v>#REF!</v>
      </c>
      <c r="AT99" s="975" t="e">
        <f>IF(#REF!="","",#REF!)</f>
        <v>#REF!</v>
      </c>
      <c r="AU99" s="976" t="e">
        <f>IF(#REF!="","",#REF!)</f>
        <v>#REF!</v>
      </c>
      <c r="AV99" s="977" t="e">
        <f>IF(#REF!="","",#REF!)</f>
        <v>#REF!</v>
      </c>
      <c r="AW99" s="1040" t="e">
        <f>IF(#REF!="","",#REF!)</f>
        <v>#REF!</v>
      </c>
      <c r="AX99" s="987" t="e">
        <f>IF(#REF!="","",#REF!)</f>
        <v>#REF!</v>
      </c>
    </row>
    <row r="100" spans="11:50">
      <c r="K100" s="41"/>
      <c r="L100" s="11"/>
      <c r="M100" s="11"/>
      <c r="N100" s="11"/>
      <c r="O100" s="11" t="str">
        <f>IFERROR(IF(예산업로드양식!E95="","",IF(예산업로드양식!F95="06",예산업로드양식!E95,"")),"")</f>
        <v/>
      </c>
      <c r="P100" s="12" t="str">
        <f>IFERROR(IF(예산업로드양식!H95="","",IF(예산업로드양식!F95="06",예산업로드양식!H95,"")),"")</f>
        <v/>
      </c>
      <c r="Q100" s="6" t="str">
        <f t="shared" si="2"/>
        <v/>
      </c>
      <c r="R100" s="12"/>
      <c r="S100" s="165"/>
      <c r="T100" s="41"/>
      <c r="U100" s="11"/>
      <c r="V100" s="11"/>
      <c r="W100" s="11"/>
      <c r="X100" s="11" t="str">
        <f>IFERROR(IF(예산업로드양식!E95="","",IF(예산업로드양식!F95="07",예산업로드양식!E95,"")),"")</f>
        <v/>
      </c>
      <c r="Y100" s="12" t="str">
        <f>IFERROR(IF(예산업로드양식!H95="","",IF(예산업로드양식!F95="07",예산업로드양식!H95,"")),"")</f>
        <v/>
      </c>
      <c r="Z100" s="6" t="str">
        <f t="shared" si="3"/>
        <v/>
      </c>
      <c r="AA100" s="12"/>
      <c r="AB100" s="165"/>
      <c r="AC100" s="41"/>
      <c r="AD100" s="11"/>
      <c r="AE100" s="11"/>
      <c r="AF100" s="11"/>
      <c r="AG100" s="11" t="str">
        <f>IFERROR(IF(예산업로드양식!E95="","",IF(예산업로드양식!F95="05",예산업로드양식!E95,"")),"")</f>
        <v/>
      </c>
      <c r="AH100" s="12" t="str">
        <f>IFERROR(IF(예산업로드양식!H95="","",IF(예산업로드양식!F95="05",예산업로드양식!H95,"")),"")</f>
        <v/>
      </c>
      <c r="AI100" s="12"/>
      <c r="AJ100" s="12"/>
      <c r="AL100" s="1035" t="e">
        <f>IF(#REF!="","",#REF!)</f>
        <v>#REF!</v>
      </c>
      <c r="AM100" s="1036" t="e">
        <f>IF(#REF!="","",#REF!)</f>
        <v>#REF!</v>
      </c>
      <c r="AN100" s="1037" t="e">
        <f>IF(AND(#REF!="",#REF!=1),"",#REF!)</f>
        <v>#REF!</v>
      </c>
      <c r="AO100" s="1038" t="e">
        <f>IF(#REF!="","",#REF!)</f>
        <v>#REF!</v>
      </c>
      <c r="AP100" s="971" t="e">
        <f>IF(#REF!="","",#REF!)</f>
        <v>#REF!</v>
      </c>
      <c r="AQ100" s="1039" t="e">
        <f>IF(#REF!="","",#REF!)</f>
        <v>#REF!</v>
      </c>
      <c r="AR100" s="973" t="e">
        <f>IF(#REF!="","",#REF!)</f>
        <v>#REF!</v>
      </c>
      <c r="AS100" s="974" t="e">
        <f>IF(#REF!="","",#REF!)</f>
        <v>#REF!</v>
      </c>
      <c r="AT100" s="975" t="e">
        <f>IF(#REF!="","",#REF!)</f>
        <v>#REF!</v>
      </c>
      <c r="AU100" s="976" t="e">
        <f>IF(#REF!="","",#REF!)</f>
        <v>#REF!</v>
      </c>
      <c r="AV100" s="977" t="e">
        <f>IF(#REF!="","",#REF!)</f>
        <v>#REF!</v>
      </c>
      <c r="AW100" s="1040" t="e">
        <f>IF(#REF!="","",#REF!)</f>
        <v>#REF!</v>
      </c>
      <c r="AX100" s="987" t="e">
        <f>IF(#REF!="","",#REF!)</f>
        <v>#REF!</v>
      </c>
    </row>
    <row r="101" spans="11:50">
      <c r="K101" s="40"/>
      <c r="L101" s="9"/>
      <c r="M101" s="9"/>
      <c r="N101" s="9"/>
      <c r="O101" s="9" t="str">
        <f>IFERROR(IF(예산업로드양식!E96="","",IF(예산업로드양식!F96="06",예산업로드양식!E96,"")),"")</f>
        <v/>
      </c>
      <c r="P101" s="10" t="str">
        <f>IFERROR(IF(예산업로드양식!H96="","",IF(예산업로드양식!F96="06",예산업로드양식!H96,"")),"")</f>
        <v/>
      </c>
      <c r="Q101" s="10" t="str">
        <f t="shared" si="2"/>
        <v/>
      </c>
      <c r="R101" s="10"/>
      <c r="S101" s="165"/>
      <c r="T101" s="40"/>
      <c r="U101" s="9"/>
      <c r="V101" s="9"/>
      <c r="W101" s="9"/>
      <c r="X101" s="9" t="str">
        <f>IFERROR(IF(예산업로드양식!E96="","",IF(예산업로드양식!F96="07",예산업로드양식!E96,"")),"")</f>
        <v/>
      </c>
      <c r="Y101" s="10" t="str">
        <f>IFERROR(IF(예산업로드양식!H96="","",IF(예산업로드양식!F96="07",예산업로드양식!H96,"")),"")</f>
        <v/>
      </c>
      <c r="Z101" s="10" t="str">
        <f t="shared" si="3"/>
        <v/>
      </c>
      <c r="AA101" s="10"/>
      <c r="AB101" s="165"/>
      <c r="AC101" s="40"/>
      <c r="AD101" s="9"/>
      <c r="AE101" s="9"/>
      <c r="AF101" s="9"/>
      <c r="AG101" s="9" t="str">
        <f>IFERROR(IF(예산업로드양식!E96="","",IF(예산업로드양식!F96="05",예산업로드양식!E96,"")),"")</f>
        <v/>
      </c>
      <c r="AH101" s="10" t="str">
        <f>IFERROR(IF(예산업로드양식!H96="","",IF(예산업로드양식!F96="05",예산업로드양식!H96,"")),"")</f>
        <v/>
      </c>
      <c r="AI101" s="10"/>
      <c r="AJ101" s="10"/>
      <c r="AL101" s="1035" t="e">
        <f>IF(#REF!="","",#REF!)</f>
        <v>#REF!</v>
      </c>
      <c r="AM101" s="1036" t="e">
        <f>IF(#REF!="","",#REF!)</f>
        <v>#REF!</v>
      </c>
      <c r="AN101" s="1037" t="e">
        <f>IF(AND(#REF!="",#REF!=1),"",#REF!)</f>
        <v>#REF!</v>
      </c>
      <c r="AO101" s="1038" t="e">
        <f>IF(#REF!="","",#REF!)</f>
        <v>#REF!</v>
      </c>
      <c r="AP101" s="971" t="e">
        <f>IF(#REF!="","",#REF!)</f>
        <v>#REF!</v>
      </c>
      <c r="AQ101" s="1039" t="e">
        <f>IF(#REF!="","",#REF!)</f>
        <v>#REF!</v>
      </c>
      <c r="AR101" s="973" t="e">
        <f>IF(#REF!="","",#REF!)</f>
        <v>#REF!</v>
      </c>
      <c r="AS101" s="974" t="e">
        <f>IF(#REF!="","",#REF!)</f>
        <v>#REF!</v>
      </c>
      <c r="AT101" s="975" t="e">
        <f>IF(#REF!="","",#REF!)</f>
        <v>#REF!</v>
      </c>
      <c r="AU101" s="976" t="e">
        <f>IF(#REF!="","",#REF!)</f>
        <v>#REF!</v>
      </c>
      <c r="AV101" s="977" t="e">
        <f>IF(#REF!="","",#REF!)</f>
        <v>#REF!</v>
      </c>
      <c r="AW101" s="1040" t="e">
        <f>IF(#REF!="","",#REF!)</f>
        <v>#REF!</v>
      </c>
      <c r="AX101" s="987" t="e">
        <f>IF(#REF!="","",#REF!)</f>
        <v>#REF!</v>
      </c>
    </row>
    <row r="102" spans="11:50">
      <c r="K102" s="41"/>
      <c r="L102" s="11"/>
      <c r="M102" s="11"/>
      <c r="N102" s="11"/>
      <c r="O102" s="11" t="str">
        <f>IFERROR(IF(예산업로드양식!E97="","",IF(예산업로드양식!F97="06",예산업로드양식!E97,"")),"")</f>
        <v/>
      </c>
      <c r="P102" s="12" t="str">
        <f>IFERROR(IF(예산업로드양식!H97="","",IF(예산업로드양식!F97="06",예산업로드양식!H97,"")),"")</f>
        <v/>
      </c>
      <c r="Q102" s="6" t="str">
        <f t="shared" si="2"/>
        <v/>
      </c>
      <c r="R102" s="12"/>
      <c r="S102" s="165"/>
      <c r="T102" s="41"/>
      <c r="U102" s="11"/>
      <c r="V102" s="11"/>
      <c r="W102" s="11"/>
      <c r="X102" s="11" t="str">
        <f>IFERROR(IF(예산업로드양식!E97="","",IF(예산업로드양식!F97="07",예산업로드양식!E97,"")),"")</f>
        <v/>
      </c>
      <c r="Y102" s="12" t="str">
        <f>IFERROR(IF(예산업로드양식!H97="","",IF(예산업로드양식!F97="07",예산업로드양식!H97,"")),"")</f>
        <v/>
      </c>
      <c r="Z102" s="6" t="str">
        <f t="shared" si="3"/>
        <v/>
      </c>
      <c r="AA102" s="12"/>
      <c r="AB102" s="165"/>
      <c r="AC102" s="41"/>
      <c r="AD102" s="11"/>
      <c r="AE102" s="11"/>
      <c r="AF102" s="11"/>
      <c r="AG102" s="11" t="str">
        <f>IFERROR(IF(예산업로드양식!E97="","",IF(예산업로드양식!F97="05",예산업로드양식!E97,"")),"")</f>
        <v/>
      </c>
      <c r="AH102" s="12" t="str">
        <f>IFERROR(IF(예산업로드양식!H97="","",IF(예산업로드양식!F97="05",예산업로드양식!H97,"")),"")</f>
        <v/>
      </c>
      <c r="AI102" s="12"/>
      <c r="AJ102" s="12"/>
      <c r="AL102" s="1035" t="e">
        <f>IF(#REF!="","",#REF!)</f>
        <v>#REF!</v>
      </c>
      <c r="AM102" s="1036" t="e">
        <f>IF(#REF!="","",#REF!)</f>
        <v>#REF!</v>
      </c>
      <c r="AN102" s="1037" t="e">
        <f>IF(AND(#REF!="",#REF!=1),"",#REF!)</f>
        <v>#REF!</v>
      </c>
      <c r="AO102" s="1038" t="e">
        <f>IF(#REF!="","",#REF!)</f>
        <v>#REF!</v>
      </c>
      <c r="AP102" s="971" t="e">
        <f>IF(#REF!="","",#REF!)</f>
        <v>#REF!</v>
      </c>
      <c r="AQ102" s="1039" t="e">
        <f>IF(#REF!="","",#REF!)</f>
        <v>#REF!</v>
      </c>
      <c r="AR102" s="973" t="e">
        <f>IF(#REF!="","",#REF!)</f>
        <v>#REF!</v>
      </c>
      <c r="AS102" s="974" t="e">
        <f>IF(#REF!="","",#REF!)</f>
        <v>#REF!</v>
      </c>
      <c r="AT102" s="975" t="e">
        <f>IF(#REF!="","",#REF!)</f>
        <v>#REF!</v>
      </c>
      <c r="AU102" s="976" t="e">
        <f>IF(#REF!="","",#REF!)</f>
        <v>#REF!</v>
      </c>
      <c r="AV102" s="977" t="e">
        <f>IF(#REF!="","",#REF!)</f>
        <v>#REF!</v>
      </c>
      <c r="AW102" s="1040" t="e">
        <f>IF(#REF!="","",#REF!)</f>
        <v>#REF!</v>
      </c>
      <c r="AX102" s="987" t="e">
        <f>IF(#REF!="","",#REF!)</f>
        <v>#REF!</v>
      </c>
    </row>
    <row r="103" spans="11:50">
      <c r="K103" s="40"/>
      <c r="L103" s="9"/>
      <c r="M103" s="9"/>
      <c r="N103" s="9"/>
      <c r="O103" s="9" t="str">
        <f>IFERROR(IF(예산업로드양식!E98="","",IF(예산업로드양식!F98="06",예산업로드양식!E98,"")),"")</f>
        <v/>
      </c>
      <c r="P103" s="10" t="str">
        <f>IFERROR(IF(예산업로드양식!H98="","",IF(예산업로드양식!F98="06",예산업로드양식!H98,"")),"")</f>
        <v/>
      </c>
      <c r="Q103" s="10" t="str">
        <f t="shared" si="2"/>
        <v/>
      </c>
      <c r="R103" s="10"/>
      <c r="S103" s="165"/>
      <c r="T103" s="40"/>
      <c r="U103" s="9"/>
      <c r="V103" s="9"/>
      <c r="W103" s="9"/>
      <c r="X103" s="9" t="str">
        <f>IFERROR(IF(예산업로드양식!E98="","",IF(예산업로드양식!F98="07",예산업로드양식!E98,"")),"")</f>
        <v/>
      </c>
      <c r="Y103" s="10" t="str">
        <f>IFERROR(IF(예산업로드양식!H98="","",IF(예산업로드양식!F98="07",예산업로드양식!H98,"")),"")</f>
        <v/>
      </c>
      <c r="Z103" s="10" t="str">
        <f t="shared" si="3"/>
        <v/>
      </c>
      <c r="AA103" s="10"/>
      <c r="AB103" s="165"/>
      <c r="AC103" s="40"/>
      <c r="AD103" s="9"/>
      <c r="AE103" s="9"/>
      <c r="AF103" s="9"/>
      <c r="AG103" s="9" t="str">
        <f>IFERROR(IF(예산업로드양식!E98="","",IF(예산업로드양식!F98="05",예산업로드양식!E98,"")),"")</f>
        <v/>
      </c>
      <c r="AH103" s="10" t="str">
        <f>IFERROR(IF(예산업로드양식!H98="","",IF(예산업로드양식!F98="05",예산업로드양식!H98,"")),"")</f>
        <v/>
      </c>
      <c r="AI103" s="10"/>
      <c r="AJ103" s="10"/>
      <c r="AL103" s="1035" t="e">
        <f>IF(#REF!="","",#REF!)</f>
        <v>#REF!</v>
      </c>
      <c r="AM103" s="1036" t="e">
        <f>IF(#REF!="","",#REF!)</f>
        <v>#REF!</v>
      </c>
      <c r="AN103" s="1037" t="e">
        <f>IF(AND(#REF!="",#REF!=1),"",#REF!)</f>
        <v>#REF!</v>
      </c>
      <c r="AO103" s="1038" t="e">
        <f>IF(#REF!="","",#REF!)</f>
        <v>#REF!</v>
      </c>
      <c r="AP103" s="971" t="e">
        <f>IF(#REF!="","",#REF!)</f>
        <v>#REF!</v>
      </c>
      <c r="AQ103" s="1039" t="e">
        <f>IF(#REF!="","",#REF!)</f>
        <v>#REF!</v>
      </c>
      <c r="AR103" s="973" t="e">
        <f>IF(#REF!="","",#REF!)</f>
        <v>#REF!</v>
      </c>
      <c r="AS103" s="974" t="e">
        <f>IF(#REF!="","",#REF!)</f>
        <v>#REF!</v>
      </c>
      <c r="AT103" s="975" t="e">
        <f>IF(#REF!="","",#REF!)</f>
        <v>#REF!</v>
      </c>
      <c r="AU103" s="976" t="e">
        <f>IF(#REF!="","",#REF!)</f>
        <v>#REF!</v>
      </c>
      <c r="AV103" s="977" t="e">
        <f>IF(#REF!="","",#REF!)</f>
        <v>#REF!</v>
      </c>
      <c r="AW103" s="1040" t="e">
        <f>IF(#REF!="","",#REF!)</f>
        <v>#REF!</v>
      </c>
      <c r="AX103" s="987" t="e">
        <f>IF(#REF!="","",#REF!)</f>
        <v>#REF!</v>
      </c>
    </row>
    <row r="104" spans="11:50">
      <c r="K104" s="41"/>
      <c r="L104" s="11"/>
      <c r="M104" s="11"/>
      <c r="N104" s="11"/>
      <c r="O104" s="11" t="str">
        <f>IFERROR(IF(예산업로드양식!E99="","",IF(예산업로드양식!F99="06",예산업로드양식!E99,"")),"")</f>
        <v/>
      </c>
      <c r="P104" s="12" t="str">
        <f>IFERROR(IF(예산업로드양식!H99="","",IF(예산업로드양식!F99="06",예산업로드양식!H99,"")),"")</f>
        <v/>
      </c>
      <c r="Q104" s="6" t="str">
        <f t="shared" si="2"/>
        <v/>
      </c>
      <c r="R104" s="12"/>
      <c r="S104" s="165"/>
      <c r="T104" s="41"/>
      <c r="U104" s="11"/>
      <c r="V104" s="11"/>
      <c r="W104" s="11"/>
      <c r="X104" s="11" t="str">
        <f>IFERROR(IF(예산업로드양식!E99="","",IF(예산업로드양식!F99="07",예산업로드양식!E99,"")),"")</f>
        <v/>
      </c>
      <c r="Y104" s="12" t="str">
        <f>IFERROR(IF(예산업로드양식!H99="","",IF(예산업로드양식!F99="07",예산업로드양식!H99,"")),"")</f>
        <v/>
      </c>
      <c r="Z104" s="6" t="str">
        <f t="shared" si="3"/>
        <v/>
      </c>
      <c r="AA104" s="12"/>
      <c r="AB104" s="165"/>
      <c r="AC104" s="41"/>
      <c r="AD104" s="11"/>
      <c r="AE104" s="11"/>
      <c r="AF104" s="11"/>
      <c r="AG104" s="11" t="str">
        <f>IFERROR(IF(예산업로드양식!E99="","",IF(예산업로드양식!F99="05",예산업로드양식!E99,"")),"")</f>
        <v/>
      </c>
      <c r="AH104" s="12" t="str">
        <f>IFERROR(IF(예산업로드양식!H99="","",IF(예산업로드양식!F99="05",예산업로드양식!H99,"")),"")</f>
        <v/>
      </c>
      <c r="AI104" s="12"/>
      <c r="AJ104" s="12"/>
      <c r="AL104" s="1035" t="e">
        <f>IF(#REF!="","",#REF!)</f>
        <v>#REF!</v>
      </c>
      <c r="AM104" s="1036" t="e">
        <f>IF(#REF!="","",#REF!)</f>
        <v>#REF!</v>
      </c>
      <c r="AN104" s="1037" t="e">
        <f>IF(AND(#REF!="",#REF!=1),"",#REF!)</f>
        <v>#REF!</v>
      </c>
      <c r="AO104" s="1038" t="e">
        <f>IF(#REF!="","",#REF!)</f>
        <v>#REF!</v>
      </c>
      <c r="AP104" s="971" t="e">
        <f>IF(#REF!="","",#REF!)</f>
        <v>#REF!</v>
      </c>
      <c r="AQ104" s="1039" t="e">
        <f>IF(#REF!="","",#REF!)</f>
        <v>#REF!</v>
      </c>
      <c r="AR104" s="973" t="e">
        <f>IF(#REF!="","",#REF!)</f>
        <v>#REF!</v>
      </c>
      <c r="AS104" s="974" t="e">
        <f>IF(#REF!="","",#REF!)</f>
        <v>#REF!</v>
      </c>
      <c r="AT104" s="975" t="e">
        <f>IF(#REF!="","",#REF!)</f>
        <v>#REF!</v>
      </c>
      <c r="AU104" s="976" t="e">
        <f>IF(#REF!="","",#REF!)</f>
        <v>#REF!</v>
      </c>
      <c r="AV104" s="977" t="e">
        <f>IF(#REF!="","",#REF!)</f>
        <v>#REF!</v>
      </c>
      <c r="AW104" s="1040" t="e">
        <f>IF(#REF!="","",#REF!)</f>
        <v>#REF!</v>
      </c>
      <c r="AX104" s="987" t="e">
        <f>IF(#REF!="","",#REF!)</f>
        <v>#REF!</v>
      </c>
    </row>
    <row r="105" spans="11:50">
      <c r="K105" s="40"/>
      <c r="L105" s="9"/>
      <c r="M105" s="9"/>
      <c r="N105" s="9"/>
      <c r="O105" s="9" t="str">
        <f>IFERROR(IF(예산업로드양식!E100="","",IF(예산업로드양식!F100="06",예산업로드양식!E100,"")),"")</f>
        <v/>
      </c>
      <c r="P105" s="10" t="str">
        <f>IFERROR(IF(예산업로드양식!H100="","",IF(예산업로드양식!F100="06",예산업로드양식!H100,"")),"")</f>
        <v/>
      </c>
      <c r="Q105" s="10" t="str">
        <f t="shared" si="2"/>
        <v/>
      </c>
      <c r="R105" s="10"/>
      <c r="S105" s="165"/>
      <c r="T105" s="40"/>
      <c r="U105" s="9"/>
      <c r="V105" s="9"/>
      <c r="W105" s="9"/>
      <c r="X105" s="9" t="str">
        <f>IFERROR(IF(예산업로드양식!E100="","",IF(예산업로드양식!F100="07",예산업로드양식!E100,"")),"")</f>
        <v/>
      </c>
      <c r="Y105" s="10" t="str">
        <f>IFERROR(IF(예산업로드양식!H100="","",IF(예산업로드양식!F100="07",예산업로드양식!H100,"")),"")</f>
        <v/>
      </c>
      <c r="Z105" s="10" t="str">
        <f t="shared" si="3"/>
        <v/>
      </c>
      <c r="AA105" s="10"/>
      <c r="AB105" s="165"/>
      <c r="AC105" s="40"/>
      <c r="AD105" s="9"/>
      <c r="AE105" s="9"/>
      <c r="AF105" s="9"/>
      <c r="AG105" s="9" t="str">
        <f>IFERROR(IF(예산업로드양식!E100="","",IF(예산업로드양식!F100="05",예산업로드양식!E100,"")),"")</f>
        <v/>
      </c>
      <c r="AH105" s="10" t="str">
        <f>IFERROR(IF(예산업로드양식!H100="","",IF(예산업로드양식!F100="05",예산업로드양식!H100,"")),"")</f>
        <v/>
      </c>
      <c r="AI105" s="10"/>
      <c r="AJ105" s="10"/>
      <c r="AL105" s="1035" t="e">
        <f>IF(#REF!="","",#REF!)</f>
        <v>#REF!</v>
      </c>
      <c r="AM105" s="1036" t="e">
        <f>IF(#REF!="","",#REF!)</f>
        <v>#REF!</v>
      </c>
      <c r="AN105" s="1037" t="e">
        <f>IF(AND(#REF!="",#REF!=1),"",#REF!)</f>
        <v>#REF!</v>
      </c>
      <c r="AO105" s="1038" t="e">
        <f>IF(#REF!="","",#REF!)</f>
        <v>#REF!</v>
      </c>
      <c r="AP105" s="971" t="e">
        <f>IF(#REF!="","",#REF!)</f>
        <v>#REF!</v>
      </c>
      <c r="AQ105" s="1039" t="e">
        <f>IF(#REF!="","",#REF!)</f>
        <v>#REF!</v>
      </c>
      <c r="AR105" s="973" t="e">
        <f>IF(#REF!="","",#REF!)</f>
        <v>#REF!</v>
      </c>
      <c r="AS105" s="974" t="e">
        <f>IF(#REF!="","",#REF!)</f>
        <v>#REF!</v>
      </c>
      <c r="AT105" s="975" t="e">
        <f>IF(#REF!="","",#REF!)</f>
        <v>#REF!</v>
      </c>
      <c r="AU105" s="976" t="e">
        <f>IF(#REF!="","",#REF!)</f>
        <v>#REF!</v>
      </c>
      <c r="AV105" s="977" t="e">
        <f>IF(#REF!="","",#REF!)</f>
        <v>#REF!</v>
      </c>
      <c r="AW105" s="1040" t="e">
        <f>IF(#REF!="","",#REF!)</f>
        <v>#REF!</v>
      </c>
      <c r="AX105" s="987" t="e">
        <f>IF(#REF!="","",#REF!)</f>
        <v>#REF!</v>
      </c>
    </row>
    <row r="106" spans="11:50">
      <c r="K106" s="41"/>
      <c r="L106" s="11"/>
      <c r="M106" s="11"/>
      <c r="N106" s="11"/>
      <c r="O106" s="11" t="str">
        <f>IFERROR(IF(예산업로드양식!E101="","",IF(예산업로드양식!F101="06",예산업로드양식!E101,"")),"")</f>
        <v/>
      </c>
      <c r="P106" s="12" t="str">
        <f>IFERROR(IF(예산업로드양식!H101="","",IF(예산업로드양식!F101="06",예산업로드양식!H101,"")),"")</f>
        <v/>
      </c>
      <c r="Q106" s="6" t="str">
        <f t="shared" si="2"/>
        <v/>
      </c>
      <c r="R106" s="12"/>
      <c r="S106" s="165"/>
      <c r="T106" s="41"/>
      <c r="U106" s="11"/>
      <c r="V106" s="11"/>
      <c r="W106" s="11"/>
      <c r="X106" s="11" t="str">
        <f>IFERROR(IF(예산업로드양식!E101="","",IF(예산업로드양식!F101="07",예산업로드양식!E101,"")),"")</f>
        <v/>
      </c>
      <c r="Y106" s="12" t="str">
        <f>IFERROR(IF(예산업로드양식!H101="","",IF(예산업로드양식!F101="07",예산업로드양식!H101,"")),"")</f>
        <v/>
      </c>
      <c r="Z106" s="6" t="str">
        <f t="shared" si="3"/>
        <v/>
      </c>
      <c r="AA106" s="12"/>
      <c r="AB106" s="165"/>
      <c r="AC106" s="41"/>
      <c r="AD106" s="11"/>
      <c r="AE106" s="11"/>
      <c r="AF106" s="11"/>
      <c r="AG106" s="11" t="str">
        <f>IFERROR(IF(예산업로드양식!E101="","",IF(예산업로드양식!F101="05",예산업로드양식!E101,"")),"")</f>
        <v/>
      </c>
      <c r="AH106" s="12" t="str">
        <f>IFERROR(IF(예산업로드양식!H101="","",IF(예산업로드양식!F101="05",예산업로드양식!H101,"")),"")</f>
        <v/>
      </c>
      <c r="AI106" s="12"/>
      <c r="AJ106" s="12"/>
      <c r="AL106" s="1035" t="e">
        <f>IF(#REF!="","",#REF!)</f>
        <v>#REF!</v>
      </c>
      <c r="AM106" s="1036" t="e">
        <f>IF(#REF!="","",#REF!)</f>
        <v>#REF!</v>
      </c>
      <c r="AN106" s="1037" t="e">
        <f>IF(AND(#REF!="",#REF!=1),"",#REF!)</f>
        <v>#REF!</v>
      </c>
      <c r="AO106" s="1038" t="e">
        <f>IF(#REF!="","",#REF!)</f>
        <v>#REF!</v>
      </c>
      <c r="AP106" s="971" t="e">
        <f>IF(#REF!="","",#REF!)</f>
        <v>#REF!</v>
      </c>
      <c r="AQ106" s="1039" t="e">
        <f>IF(#REF!="","",#REF!)</f>
        <v>#REF!</v>
      </c>
      <c r="AR106" s="973" t="e">
        <f>IF(#REF!="","",#REF!)</f>
        <v>#REF!</v>
      </c>
      <c r="AS106" s="974" t="e">
        <f>IF(#REF!="","",#REF!)</f>
        <v>#REF!</v>
      </c>
      <c r="AT106" s="975" t="e">
        <f>IF(#REF!="","",#REF!)</f>
        <v>#REF!</v>
      </c>
      <c r="AU106" s="976" t="e">
        <f>IF(#REF!="","",#REF!)</f>
        <v>#REF!</v>
      </c>
      <c r="AV106" s="977" t="e">
        <f>IF(#REF!="","",#REF!)</f>
        <v>#REF!</v>
      </c>
      <c r="AW106" s="1040" t="e">
        <f>IF(#REF!="","",#REF!)</f>
        <v>#REF!</v>
      </c>
      <c r="AX106" s="987" t="e">
        <f>IF(#REF!="","",#REF!)</f>
        <v>#REF!</v>
      </c>
    </row>
    <row r="107" spans="11:50">
      <c r="K107" s="40"/>
      <c r="L107" s="9"/>
      <c r="M107" s="9"/>
      <c r="N107" s="9"/>
      <c r="O107" s="9" t="str">
        <f>IFERROR(IF(예산업로드양식!E102="","",IF(예산업로드양식!F102="06",예산업로드양식!E102,"")),"")</f>
        <v/>
      </c>
      <c r="P107" s="10" t="str">
        <f>IFERROR(IF(예산업로드양식!H102="","",IF(예산업로드양식!F102="06",예산업로드양식!H102,"")),"")</f>
        <v/>
      </c>
      <c r="Q107" s="10" t="str">
        <f t="shared" si="2"/>
        <v/>
      </c>
      <c r="R107" s="10"/>
      <c r="S107" s="165"/>
      <c r="T107" s="40"/>
      <c r="U107" s="9"/>
      <c r="V107" s="9"/>
      <c r="W107" s="9"/>
      <c r="X107" s="9" t="str">
        <f>IFERROR(IF(예산업로드양식!E102="","",IF(예산업로드양식!F102="07",예산업로드양식!E102,"")),"")</f>
        <v/>
      </c>
      <c r="Y107" s="10" t="str">
        <f>IFERROR(IF(예산업로드양식!H102="","",IF(예산업로드양식!F102="07",예산업로드양식!H102,"")),"")</f>
        <v/>
      </c>
      <c r="Z107" s="10" t="str">
        <f t="shared" si="3"/>
        <v/>
      </c>
      <c r="AA107" s="10"/>
      <c r="AB107" s="165"/>
      <c r="AC107" s="40"/>
      <c r="AD107" s="9"/>
      <c r="AE107" s="9"/>
      <c r="AF107" s="9"/>
      <c r="AG107" s="9" t="str">
        <f>IFERROR(IF(예산업로드양식!E102="","",IF(예산업로드양식!F102="05",예산업로드양식!E102,"")),"")</f>
        <v/>
      </c>
      <c r="AH107" s="10" t="str">
        <f>IFERROR(IF(예산업로드양식!H102="","",IF(예산업로드양식!F102="05",예산업로드양식!H102,"")),"")</f>
        <v/>
      </c>
      <c r="AI107" s="10"/>
      <c r="AJ107" s="10"/>
      <c r="AL107" s="1035" t="e">
        <f>IF(#REF!="","",#REF!)</f>
        <v>#REF!</v>
      </c>
      <c r="AM107" s="1036" t="e">
        <f>IF(#REF!="","",#REF!)</f>
        <v>#REF!</v>
      </c>
      <c r="AN107" s="1037" t="e">
        <f>IF(AND(#REF!="",#REF!=1),"",#REF!)</f>
        <v>#REF!</v>
      </c>
      <c r="AO107" s="1038" t="e">
        <f>IF(#REF!="","",#REF!)</f>
        <v>#REF!</v>
      </c>
      <c r="AP107" s="971" t="e">
        <f>IF(#REF!="","",#REF!)</f>
        <v>#REF!</v>
      </c>
      <c r="AQ107" s="1039" t="e">
        <f>IF(#REF!="","",#REF!)</f>
        <v>#REF!</v>
      </c>
      <c r="AR107" s="973" t="e">
        <f>IF(#REF!="","",#REF!)</f>
        <v>#REF!</v>
      </c>
      <c r="AS107" s="974" t="e">
        <f>IF(#REF!="","",#REF!)</f>
        <v>#REF!</v>
      </c>
      <c r="AT107" s="975" t="e">
        <f>IF(#REF!="","",#REF!)</f>
        <v>#REF!</v>
      </c>
      <c r="AU107" s="976" t="e">
        <f>IF(#REF!="","",#REF!)</f>
        <v>#REF!</v>
      </c>
      <c r="AV107" s="977" t="e">
        <f>IF(#REF!="","",#REF!)</f>
        <v>#REF!</v>
      </c>
      <c r="AW107" s="1040" t="e">
        <f>IF(#REF!="","",#REF!)</f>
        <v>#REF!</v>
      </c>
      <c r="AX107" s="987" t="e">
        <f>IF(#REF!="","",#REF!)</f>
        <v>#REF!</v>
      </c>
    </row>
    <row r="108" spans="11:50">
      <c r="K108" s="41"/>
      <c r="L108" s="11"/>
      <c r="M108" s="11"/>
      <c r="N108" s="11"/>
      <c r="O108" s="11" t="str">
        <f>IFERROR(IF(예산업로드양식!E103="","",IF(예산업로드양식!F103="06",예산업로드양식!E103,"")),"")</f>
        <v/>
      </c>
      <c r="P108" s="12" t="str">
        <f>IFERROR(IF(예산업로드양식!H103="","",IF(예산업로드양식!F103="06",예산업로드양식!H103,"")),"")</f>
        <v/>
      </c>
      <c r="Q108" s="6" t="str">
        <f t="shared" si="2"/>
        <v/>
      </c>
      <c r="R108" s="12"/>
      <c r="S108" s="165"/>
      <c r="T108" s="41"/>
      <c r="U108" s="11"/>
      <c r="V108" s="11"/>
      <c r="W108" s="11"/>
      <c r="X108" s="11" t="str">
        <f>IFERROR(IF(예산업로드양식!E103="","",IF(예산업로드양식!F103="07",예산업로드양식!E103,"")),"")</f>
        <v/>
      </c>
      <c r="Y108" s="12" t="str">
        <f>IFERROR(IF(예산업로드양식!H103="","",IF(예산업로드양식!F103="07",예산업로드양식!H103,"")),"")</f>
        <v/>
      </c>
      <c r="Z108" s="6" t="str">
        <f t="shared" si="3"/>
        <v/>
      </c>
      <c r="AA108" s="12"/>
      <c r="AB108" s="165"/>
      <c r="AC108" s="41"/>
      <c r="AD108" s="11"/>
      <c r="AE108" s="11"/>
      <c r="AF108" s="11"/>
      <c r="AG108" s="11" t="str">
        <f>IFERROR(IF(예산업로드양식!E103="","",IF(예산업로드양식!F103="05",예산업로드양식!E103,"")),"")</f>
        <v/>
      </c>
      <c r="AH108" s="12" t="str">
        <f>IFERROR(IF(예산업로드양식!H103="","",IF(예산업로드양식!F103="05",예산업로드양식!H103,"")),"")</f>
        <v/>
      </c>
      <c r="AI108" s="12"/>
      <c r="AJ108" s="12"/>
      <c r="AL108" s="1035" t="e">
        <f>IF(#REF!="","",#REF!)</f>
        <v>#REF!</v>
      </c>
      <c r="AM108" s="1036" t="e">
        <f>IF(#REF!="","",#REF!)</f>
        <v>#REF!</v>
      </c>
      <c r="AN108" s="1037" t="e">
        <f>IF(AND(#REF!="",#REF!=1),"",#REF!)</f>
        <v>#REF!</v>
      </c>
      <c r="AO108" s="1038" t="e">
        <f>IF(#REF!="","",#REF!)</f>
        <v>#REF!</v>
      </c>
      <c r="AP108" s="971" t="e">
        <f>IF(#REF!="","",#REF!)</f>
        <v>#REF!</v>
      </c>
      <c r="AQ108" s="1039" t="e">
        <f>IF(#REF!="","",#REF!)</f>
        <v>#REF!</v>
      </c>
      <c r="AR108" s="973" t="e">
        <f>IF(#REF!="","",#REF!)</f>
        <v>#REF!</v>
      </c>
      <c r="AS108" s="974" t="e">
        <f>IF(#REF!="","",#REF!)</f>
        <v>#REF!</v>
      </c>
      <c r="AT108" s="975" t="e">
        <f>IF(#REF!="","",#REF!)</f>
        <v>#REF!</v>
      </c>
      <c r="AU108" s="976" t="e">
        <f>IF(#REF!="","",#REF!)</f>
        <v>#REF!</v>
      </c>
      <c r="AV108" s="977" t="e">
        <f>IF(#REF!="","",#REF!)</f>
        <v>#REF!</v>
      </c>
      <c r="AW108" s="1040" t="e">
        <f>IF(#REF!="","",#REF!)</f>
        <v>#REF!</v>
      </c>
      <c r="AX108" s="987" t="e">
        <f>IF(#REF!="","",#REF!)</f>
        <v>#REF!</v>
      </c>
    </row>
    <row r="109" spans="11:50">
      <c r="K109" s="40"/>
      <c r="L109" s="9"/>
      <c r="M109" s="9"/>
      <c r="N109" s="9"/>
      <c r="O109" s="9" t="str">
        <f>IFERROR(IF(예산업로드양식!E104="","",IF(예산업로드양식!F104="06",예산업로드양식!E104,"")),"")</f>
        <v/>
      </c>
      <c r="P109" s="10" t="str">
        <f>IFERROR(IF(예산업로드양식!H104="","",IF(예산업로드양식!F104="06",예산업로드양식!H104,"")),"")</f>
        <v/>
      </c>
      <c r="Q109" s="10" t="str">
        <f t="shared" si="2"/>
        <v/>
      </c>
      <c r="R109" s="10"/>
      <c r="S109" s="165"/>
      <c r="T109" s="40"/>
      <c r="U109" s="9"/>
      <c r="V109" s="9"/>
      <c r="W109" s="9"/>
      <c r="X109" s="9" t="str">
        <f>IFERROR(IF(예산업로드양식!E104="","",IF(예산업로드양식!F104="07",예산업로드양식!E104,"")),"")</f>
        <v/>
      </c>
      <c r="Y109" s="10" t="str">
        <f>IFERROR(IF(예산업로드양식!H104="","",IF(예산업로드양식!F104="07",예산업로드양식!H104,"")),"")</f>
        <v/>
      </c>
      <c r="Z109" s="10" t="str">
        <f t="shared" si="3"/>
        <v/>
      </c>
      <c r="AA109" s="10"/>
      <c r="AB109" s="165"/>
      <c r="AC109" s="40"/>
      <c r="AD109" s="9"/>
      <c r="AE109" s="9"/>
      <c r="AF109" s="9"/>
      <c r="AG109" s="9" t="str">
        <f>IFERROR(IF(예산업로드양식!E104="","",IF(예산업로드양식!F104="05",예산업로드양식!E104,"")),"")</f>
        <v/>
      </c>
      <c r="AH109" s="10" t="str">
        <f>IFERROR(IF(예산업로드양식!H104="","",IF(예산업로드양식!F104="05",예산업로드양식!H104,"")),"")</f>
        <v/>
      </c>
      <c r="AI109" s="10"/>
      <c r="AJ109" s="10"/>
      <c r="AL109" s="1035" t="e">
        <f>IF(#REF!="","",#REF!)</f>
        <v>#REF!</v>
      </c>
      <c r="AM109" s="1036" t="e">
        <f>IF(#REF!="","",#REF!)</f>
        <v>#REF!</v>
      </c>
      <c r="AN109" s="1037" t="e">
        <f>IF(AND(#REF!="",#REF!=1),"",#REF!)</f>
        <v>#REF!</v>
      </c>
      <c r="AO109" s="1038" t="e">
        <f>IF(#REF!="","",#REF!)</f>
        <v>#REF!</v>
      </c>
      <c r="AP109" s="971" t="e">
        <f>IF(#REF!="","",#REF!)</f>
        <v>#REF!</v>
      </c>
      <c r="AQ109" s="1039" t="e">
        <f>IF(#REF!="","",#REF!)</f>
        <v>#REF!</v>
      </c>
      <c r="AR109" s="973" t="e">
        <f>IF(#REF!="","",#REF!)</f>
        <v>#REF!</v>
      </c>
      <c r="AS109" s="974" t="e">
        <f>IF(#REF!="","",#REF!)</f>
        <v>#REF!</v>
      </c>
      <c r="AT109" s="975" t="e">
        <f>IF(#REF!="","",#REF!)</f>
        <v>#REF!</v>
      </c>
      <c r="AU109" s="976" t="e">
        <f>IF(#REF!="","",#REF!)</f>
        <v>#REF!</v>
      </c>
      <c r="AV109" s="977" t="e">
        <f>IF(#REF!="","",#REF!)</f>
        <v>#REF!</v>
      </c>
      <c r="AW109" s="1040" t="e">
        <f>IF(#REF!="","",#REF!)</f>
        <v>#REF!</v>
      </c>
      <c r="AX109" s="987" t="e">
        <f>IF(#REF!="","",#REF!)</f>
        <v>#REF!</v>
      </c>
    </row>
    <row r="110" spans="11:50">
      <c r="K110" s="41"/>
      <c r="L110" s="11"/>
      <c r="M110" s="11"/>
      <c r="N110" s="11"/>
      <c r="O110" s="11" t="str">
        <f>IFERROR(IF(예산업로드양식!E105="","",IF(예산업로드양식!F105="06",예산업로드양식!E105,"")),"")</f>
        <v/>
      </c>
      <c r="P110" s="12" t="str">
        <f>IFERROR(IF(예산업로드양식!H105="","",IF(예산업로드양식!F105="06",예산업로드양식!H105,"")),"")</f>
        <v/>
      </c>
      <c r="Q110" s="6" t="str">
        <f t="shared" si="2"/>
        <v/>
      </c>
      <c r="R110" s="12"/>
      <c r="S110" s="165"/>
      <c r="T110" s="41"/>
      <c r="U110" s="11"/>
      <c r="V110" s="11"/>
      <c r="W110" s="11"/>
      <c r="X110" s="11" t="str">
        <f>IFERROR(IF(예산업로드양식!E105="","",IF(예산업로드양식!F105="07",예산업로드양식!E105,"")),"")</f>
        <v/>
      </c>
      <c r="Y110" s="12" t="str">
        <f>IFERROR(IF(예산업로드양식!H105="","",IF(예산업로드양식!F105="07",예산업로드양식!H105,"")),"")</f>
        <v/>
      </c>
      <c r="Z110" s="6" t="str">
        <f t="shared" si="3"/>
        <v/>
      </c>
      <c r="AA110" s="12"/>
      <c r="AB110" s="165"/>
      <c r="AC110" s="41"/>
      <c r="AD110" s="11"/>
      <c r="AE110" s="11"/>
      <c r="AF110" s="11"/>
      <c r="AG110" s="11" t="str">
        <f>IFERROR(IF(예산업로드양식!E105="","",IF(예산업로드양식!F105="05",예산업로드양식!E105,"")),"")</f>
        <v/>
      </c>
      <c r="AH110" s="12" t="str">
        <f>IFERROR(IF(예산업로드양식!H105="","",IF(예산업로드양식!F105="05",예산업로드양식!H105,"")),"")</f>
        <v/>
      </c>
      <c r="AI110" s="12"/>
      <c r="AJ110" s="12"/>
      <c r="AL110" s="1035" t="e">
        <f>IF(#REF!="","",#REF!)</f>
        <v>#REF!</v>
      </c>
      <c r="AM110" s="1036" t="e">
        <f>IF(#REF!="","",#REF!)</f>
        <v>#REF!</v>
      </c>
      <c r="AN110" s="1037" t="e">
        <f>IF(AND(#REF!="",#REF!=1),"",#REF!)</f>
        <v>#REF!</v>
      </c>
      <c r="AO110" s="1038" t="e">
        <f>IF(#REF!="","",#REF!)</f>
        <v>#REF!</v>
      </c>
      <c r="AP110" s="971" t="e">
        <f>IF(#REF!="","",#REF!)</f>
        <v>#REF!</v>
      </c>
      <c r="AQ110" s="1039" t="e">
        <f>IF(#REF!="","",#REF!)</f>
        <v>#REF!</v>
      </c>
      <c r="AR110" s="973" t="e">
        <f>IF(#REF!="","",#REF!)</f>
        <v>#REF!</v>
      </c>
      <c r="AS110" s="974" t="e">
        <f>IF(#REF!="","",#REF!)</f>
        <v>#REF!</v>
      </c>
      <c r="AT110" s="975" t="e">
        <f>IF(#REF!="","",#REF!)</f>
        <v>#REF!</v>
      </c>
      <c r="AU110" s="976" t="e">
        <f>IF(#REF!="","",#REF!)</f>
        <v>#REF!</v>
      </c>
      <c r="AV110" s="977" t="e">
        <f>IF(#REF!="","",#REF!)</f>
        <v>#REF!</v>
      </c>
      <c r="AW110" s="1040" t="e">
        <f>IF(#REF!="","",#REF!)</f>
        <v>#REF!</v>
      </c>
      <c r="AX110" s="987" t="e">
        <f>IF(#REF!="","",#REF!)</f>
        <v>#REF!</v>
      </c>
    </row>
    <row r="111" spans="11:50">
      <c r="K111" s="40"/>
      <c r="L111" s="9"/>
      <c r="M111" s="9"/>
      <c r="N111" s="9"/>
      <c r="O111" s="9" t="str">
        <f>IFERROR(IF(예산업로드양식!E106="","",IF(예산업로드양식!F106="06",예산업로드양식!E106,"")),"")</f>
        <v/>
      </c>
      <c r="P111" s="10" t="str">
        <f>IFERROR(IF(예산업로드양식!H106="","",IF(예산업로드양식!F106="06",예산업로드양식!H106,"")),"")</f>
        <v/>
      </c>
      <c r="Q111" s="10" t="str">
        <f t="shared" si="2"/>
        <v/>
      </c>
      <c r="R111" s="10"/>
      <c r="S111" s="165"/>
      <c r="T111" s="40"/>
      <c r="U111" s="9"/>
      <c r="V111" s="9"/>
      <c r="W111" s="9"/>
      <c r="X111" s="9" t="str">
        <f>IFERROR(IF(예산업로드양식!E106="","",IF(예산업로드양식!F106="07",예산업로드양식!E106,"")),"")</f>
        <v/>
      </c>
      <c r="Y111" s="10" t="str">
        <f>IFERROR(IF(예산업로드양식!H106="","",IF(예산업로드양식!F106="07",예산업로드양식!H106,"")),"")</f>
        <v/>
      </c>
      <c r="Z111" s="10" t="str">
        <f t="shared" si="3"/>
        <v/>
      </c>
      <c r="AA111" s="10"/>
      <c r="AB111" s="165"/>
      <c r="AC111" s="40"/>
      <c r="AD111" s="9"/>
      <c r="AE111" s="9"/>
      <c r="AF111" s="9"/>
      <c r="AG111" s="9" t="str">
        <f>IFERROR(IF(예산업로드양식!E106="","",IF(예산업로드양식!F106="05",예산업로드양식!E106,"")),"")</f>
        <v/>
      </c>
      <c r="AH111" s="10" t="str">
        <f>IFERROR(IF(예산업로드양식!H106="","",IF(예산업로드양식!F106="05",예산업로드양식!H106,"")),"")</f>
        <v/>
      </c>
      <c r="AI111" s="10"/>
      <c r="AJ111" s="10"/>
      <c r="AL111" s="1035" t="e">
        <f>IF(#REF!="","",#REF!)</f>
        <v>#REF!</v>
      </c>
      <c r="AM111" s="1036" t="e">
        <f>IF(#REF!="","",#REF!)</f>
        <v>#REF!</v>
      </c>
      <c r="AN111" s="1037" t="e">
        <f>IF(AND(#REF!="",#REF!=1),"",#REF!)</f>
        <v>#REF!</v>
      </c>
      <c r="AO111" s="1038" t="e">
        <f>IF(#REF!="","",#REF!)</f>
        <v>#REF!</v>
      </c>
      <c r="AP111" s="971" t="e">
        <f>IF(#REF!="","",#REF!)</f>
        <v>#REF!</v>
      </c>
      <c r="AQ111" s="1039" t="e">
        <f>IF(#REF!="","",#REF!)</f>
        <v>#REF!</v>
      </c>
      <c r="AR111" s="973" t="e">
        <f>IF(#REF!="","",#REF!)</f>
        <v>#REF!</v>
      </c>
      <c r="AS111" s="974" t="e">
        <f>IF(#REF!="","",#REF!)</f>
        <v>#REF!</v>
      </c>
      <c r="AT111" s="975" t="e">
        <f>IF(#REF!="","",#REF!)</f>
        <v>#REF!</v>
      </c>
      <c r="AU111" s="976" t="e">
        <f>IF(#REF!="","",#REF!)</f>
        <v>#REF!</v>
      </c>
      <c r="AV111" s="977" t="e">
        <f>IF(#REF!="","",#REF!)</f>
        <v>#REF!</v>
      </c>
      <c r="AW111" s="1040" t="e">
        <f>IF(#REF!="","",#REF!)</f>
        <v>#REF!</v>
      </c>
      <c r="AX111" s="987" t="e">
        <f>IF(#REF!="","",#REF!)</f>
        <v>#REF!</v>
      </c>
    </row>
    <row r="112" spans="11:50">
      <c r="K112" s="41"/>
      <c r="L112" s="11"/>
      <c r="M112" s="11"/>
      <c r="N112" s="11"/>
      <c r="O112" s="11" t="str">
        <f>IFERROR(IF(예산업로드양식!E107="","",IF(예산업로드양식!F107="06",예산업로드양식!E107,"")),"")</f>
        <v/>
      </c>
      <c r="P112" s="12" t="str">
        <f>IFERROR(IF(예산업로드양식!H107="","",IF(예산업로드양식!F107="06",예산업로드양식!H107,"")),"")</f>
        <v/>
      </c>
      <c r="Q112" s="6" t="str">
        <f t="shared" si="2"/>
        <v/>
      </c>
      <c r="R112" s="12"/>
      <c r="S112" s="165"/>
      <c r="T112" s="41"/>
      <c r="U112" s="11"/>
      <c r="V112" s="11"/>
      <c r="W112" s="11"/>
      <c r="X112" s="11" t="str">
        <f>IFERROR(IF(예산업로드양식!E107="","",IF(예산업로드양식!F107="07",예산업로드양식!E107,"")),"")</f>
        <v/>
      </c>
      <c r="Y112" s="12" t="str">
        <f>IFERROR(IF(예산업로드양식!H107="","",IF(예산업로드양식!F107="07",예산업로드양식!H107,"")),"")</f>
        <v/>
      </c>
      <c r="Z112" s="6" t="str">
        <f t="shared" si="3"/>
        <v/>
      </c>
      <c r="AA112" s="12"/>
      <c r="AB112" s="165"/>
      <c r="AC112" s="41"/>
      <c r="AD112" s="11"/>
      <c r="AE112" s="11"/>
      <c r="AF112" s="11"/>
      <c r="AG112" s="11" t="str">
        <f>IFERROR(IF(예산업로드양식!E107="","",IF(예산업로드양식!F107="05",예산업로드양식!E107,"")),"")</f>
        <v/>
      </c>
      <c r="AH112" s="12" t="str">
        <f>IFERROR(IF(예산업로드양식!H107="","",IF(예산업로드양식!F107="05",예산업로드양식!H107,"")),"")</f>
        <v/>
      </c>
      <c r="AI112" s="12"/>
      <c r="AJ112" s="12"/>
      <c r="AL112" s="1035" t="e">
        <f>IF(#REF!="","",#REF!)</f>
        <v>#REF!</v>
      </c>
      <c r="AM112" s="1036" t="e">
        <f>IF(#REF!="","",#REF!)</f>
        <v>#REF!</v>
      </c>
      <c r="AN112" s="1037" t="e">
        <f>IF(AND(#REF!="",#REF!=1),"",#REF!)</f>
        <v>#REF!</v>
      </c>
      <c r="AO112" s="1038" t="e">
        <f>IF(#REF!="","",#REF!)</f>
        <v>#REF!</v>
      </c>
      <c r="AP112" s="971" t="e">
        <f>IF(#REF!="","",#REF!)</f>
        <v>#REF!</v>
      </c>
      <c r="AQ112" s="1039" t="e">
        <f>IF(#REF!="","",#REF!)</f>
        <v>#REF!</v>
      </c>
      <c r="AR112" s="973" t="e">
        <f>IF(#REF!="","",#REF!)</f>
        <v>#REF!</v>
      </c>
      <c r="AS112" s="974" t="e">
        <f>IF(#REF!="","",#REF!)</f>
        <v>#REF!</v>
      </c>
      <c r="AT112" s="975" t="e">
        <f>IF(#REF!="","",#REF!)</f>
        <v>#REF!</v>
      </c>
      <c r="AU112" s="976" t="e">
        <f>IF(#REF!="","",#REF!)</f>
        <v>#REF!</v>
      </c>
      <c r="AV112" s="977" t="e">
        <f>IF(#REF!="","",#REF!)</f>
        <v>#REF!</v>
      </c>
      <c r="AW112" s="1040" t="e">
        <f>IF(#REF!="","",#REF!)</f>
        <v>#REF!</v>
      </c>
      <c r="AX112" s="987" t="e">
        <f>IF(#REF!="","",#REF!)</f>
        <v>#REF!</v>
      </c>
    </row>
    <row r="113" spans="11:50">
      <c r="K113" s="168"/>
      <c r="L113" s="169"/>
      <c r="M113" s="169"/>
      <c r="N113" s="169"/>
      <c r="O113" s="169" t="str">
        <f>IFERROR(IF(예산업로드양식!E108="","",IF(예산업로드양식!F108="06",예산업로드양식!E108,"")),"")</f>
        <v/>
      </c>
      <c r="P113" s="170" t="str">
        <f>IFERROR(IF(예산업로드양식!H108="","",IF(예산업로드양식!F108="06",예산업로드양식!H108,"")),"")</f>
        <v/>
      </c>
      <c r="Q113" s="10" t="str">
        <f t="shared" si="2"/>
        <v/>
      </c>
      <c r="R113" s="170"/>
      <c r="S113" s="165"/>
      <c r="T113" s="168"/>
      <c r="U113" s="169"/>
      <c r="V113" s="169"/>
      <c r="W113" s="169"/>
      <c r="X113" s="169" t="str">
        <f>IFERROR(IF(예산업로드양식!E108="","",IF(예산업로드양식!F108="07",예산업로드양식!E108,"")),"")</f>
        <v/>
      </c>
      <c r="Y113" s="170" t="str">
        <f>IFERROR(IF(예산업로드양식!H108="","",IF(예산업로드양식!F108="07",예산업로드양식!H108,"")),"")</f>
        <v/>
      </c>
      <c r="Z113" s="10" t="str">
        <f t="shared" si="3"/>
        <v/>
      </c>
      <c r="AA113" s="170"/>
      <c r="AB113" s="165"/>
      <c r="AC113" s="168"/>
      <c r="AD113" s="169"/>
      <c r="AE113" s="169"/>
      <c r="AF113" s="169"/>
      <c r="AG113" s="169" t="str">
        <f>IFERROR(IF(예산업로드양식!E108="","",IF(예산업로드양식!F108="05",예산업로드양식!E108,"")),"")</f>
        <v/>
      </c>
      <c r="AH113" s="170" t="str">
        <f>IFERROR(IF(예산업로드양식!H108="","",IF(예산업로드양식!F108="05",예산업로드양식!H108,"")),"")</f>
        <v/>
      </c>
      <c r="AI113" s="170"/>
      <c r="AJ113" s="170"/>
      <c r="AL113" s="1035" t="e">
        <f>IF(#REF!="","",#REF!)</f>
        <v>#REF!</v>
      </c>
      <c r="AM113" s="1036" t="e">
        <f>IF(#REF!="","",#REF!)</f>
        <v>#REF!</v>
      </c>
      <c r="AN113" s="1037" t="e">
        <f>IF(AND(#REF!="",#REF!=1),"",#REF!)</f>
        <v>#REF!</v>
      </c>
      <c r="AO113" s="1038" t="e">
        <f>IF(#REF!="","",#REF!)</f>
        <v>#REF!</v>
      </c>
      <c r="AP113" s="971" t="e">
        <f>IF(#REF!="","",#REF!)</f>
        <v>#REF!</v>
      </c>
      <c r="AQ113" s="1039" t="e">
        <f>IF(#REF!="","",#REF!)</f>
        <v>#REF!</v>
      </c>
      <c r="AR113" s="973" t="e">
        <f>IF(#REF!="","",#REF!)</f>
        <v>#REF!</v>
      </c>
      <c r="AS113" s="974" t="e">
        <f>IF(#REF!="","",#REF!)</f>
        <v>#REF!</v>
      </c>
      <c r="AT113" s="975" t="e">
        <f>IF(#REF!="","",#REF!)</f>
        <v>#REF!</v>
      </c>
      <c r="AU113" s="976" t="e">
        <f>IF(#REF!="","",#REF!)</f>
        <v>#REF!</v>
      </c>
      <c r="AV113" s="977" t="e">
        <f>IF(#REF!="","",#REF!)</f>
        <v>#REF!</v>
      </c>
      <c r="AW113" s="1040" t="e">
        <f>IF(#REF!="","",#REF!)</f>
        <v>#REF!</v>
      </c>
      <c r="AX113" s="987" t="e">
        <f>IF(#REF!="","",#REF!)</f>
        <v>#REF!</v>
      </c>
    </row>
    <row r="114" spans="11:50">
      <c r="AL114" s="1035" t="e">
        <f>IF(#REF!="","",#REF!)</f>
        <v>#REF!</v>
      </c>
      <c r="AM114" s="1036" t="e">
        <f>IF(#REF!="","",#REF!)</f>
        <v>#REF!</v>
      </c>
      <c r="AN114" s="1037" t="e">
        <f>IF(AND(#REF!="",#REF!=1),"",#REF!)</f>
        <v>#REF!</v>
      </c>
      <c r="AO114" s="1038" t="e">
        <f>IF(#REF!="","",#REF!)</f>
        <v>#REF!</v>
      </c>
      <c r="AP114" s="971" t="e">
        <f>IF(#REF!="","",#REF!)</f>
        <v>#REF!</v>
      </c>
      <c r="AQ114" s="1039" t="e">
        <f>IF(#REF!="","",#REF!)</f>
        <v>#REF!</v>
      </c>
      <c r="AR114" s="973" t="e">
        <f>IF(#REF!="","",#REF!)</f>
        <v>#REF!</v>
      </c>
      <c r="AS114" s="974" t="e">
        <f>IF(#REF!="","",#REF!)</f>
        <v>#REF!</v>
      </c>
      <c r="AT114" s="975" t="e">
        <f>IF(#REF!="","",#REF!)</f>
        <v>#REF!</v>
      </c>
      <c r="AU114" s="976" t="e">
        <f>IF(#REF!="","",#REF!)</f>
        <v>#REF!</v>
      </c>
      <c r="AV114" s="977" t="e">
        <f>IF(#REF!="","",#REF!)</f>
        <v>#REF!</v>
      </c>
      <c r="AW114" s="1040" t="e">
        <f>IF(#REF!="","",#REF!)</f>
        <v>#REF!</v>
      </c>
      <c r="AX114" s="987" t="e">
        <f>IF(#REF!="","",#REF!)</f>
        <v>#REF!</v>
      </c>
    </row>
    <row r="115" spans="11:50">
      <c r="AL115" s="1035" t="e">
        <f>IF(#REF!="","",#REF!)</f>
        <v>#REF!</v>
      </c>
      <c r="AM115" s="1036" t="e">
        <f>IF(#REF!="","",#REF!)</f>
        <v>#REF!</v>
      </c>
      <c r="AN115" s="1037" t="e">
        <f>IF(AND(#REF!="",#REF!=1),"",#REF!)</f>
        <v>#REF!</v>
      </c>
      <c r="AO115" s="1038" t="e">
        <f>IF(#REF!="","",#REF!)</f>
        <v>#REF!</v>
      </c>
      <c r="AP115" s="971" t="e">
        <f>IF(#REF!="","",#REF!)</f>
        <v>#REF!</v>
      </c>
      <c r="AQ115" s="1039" t="e">
        <f>IF(#REF!="","",#REF!)</f>
        <v>#REF!</v>
      </c>
      <c r="AR115" s="973" t="e">
        <f>IF(#REF!="","",#REF!)</f>
        <v>#REF!</v>
      </c>
      <c r="AS115" s="974" t="e">
        <f>IF(#REF!="","",#REF!)</f>
        <v>#REF!</v>
      </c>
      <c r="AT115" s="975" t="e">
        <f>IF(#REF!="","",#REF!)</f>
        <v>#REF!</v>
      </c>
      <c r="AU115" s="976" t="e">
        <f>IF(#REF!="","",#REF!)</f>
        <v>#REF!</v>
      </c>
      <c r="AV115" s="977" t="e">
        <f>IF(#REF!="","",#REF!)</f>
        <v>#REF!</v>
      </c>
      <c r="AW115" s="1040" t="e">
        <f>IF(#REF!="","",#REF!)</f>
        <v>#REF!</v>
      </c>
      <c r="AX115" s="987" t="e">
        <f>IF(#REF!="","",#REF!)</f>
        <v>#REF!</v>
      </c>
    </row>
    <row r="116" spans="11:50">
      <c r="AL116" s="1035" t="e">
        <f>IF(#REF!="","",#REF!)</f>
        <v>#REF!</v>
      </c>
      <c r="AM116" s="1036" t="e">
        <f>IF(#REF!="","",#REF!)</f>
        <v>#REF!</v>
      </c>
      <c r="AN116" s="1037" t="e">
        <f>IF(AND(#REF!="",#REF!=1),"",#REF!)</f>
        <v>#REF!</v>
      </c>
      <c r="AO116" s="1038" t="e">
        <f>IF(#REF!="","",#REF!)</f>
        <v>#REF!</v>
      </c>
      <c r="AP116" s="971" t="e">
        <f>IF(#REF!="","",#REF!)</f>
        <v>#REF!</v>
      </c>
      <c r="AQ116" s="1039" t="e">
        <f>IF(#REF!="","",#REF!)</f>
        <v>#REF!</v>
      </c>
      <c r="AR116" s="973" t="e">
        <f>IF(#REF!="","",#REF!)</f>
        <v>#REF!</v>
      </c>
      <c r="AS116" s="974" t="e">
        <f>IF(#REF!="","",#REF!)</f>
        <v>#REF!</v>
      </c>
      <c r="AT116" s="975" t="e">
        <f>IF(#REF!="","",#REF!)</f>
        <v>#REF!</v>
      </c>
      <c r="AU116" s="976" t="e">
        <f>IF(#REF!="","",#REF!)</f>
        <v>#REF!</v>
      </c>
      <c r="AV116" s="977" t="e">
        <f>IF(#REF!="","",#REF!)</f>
        <v>#REF!</v>
      </c>
      <c r="AW116" s="1040" t="e">
        <f>IF(#REF!="","",#REF!)</f>
        <v>#REF!</v>
      </c>
      <c r="AX116" s="987" t="e">
        <f>IF(#REF!="","",#REF!)</f>
        <v>#REF!</v>
      </c>
    </row>
    <row r="117" spans="11:50">
      <c r="AL117" s="1035" t="e">
        <f>IF(#REF!="","",#REF!)</f>
        <v>#REF!</v>
      </c>
      <c r="AM117" s="1036" t="e">
        <f>IF(#REF!="","",#REF!)</f>
        <v>#REF!</v>
      </c>
      <c r="AN117" s="1037" t="e">
        <f>IF(AND(#REF!="",#REF!=1),"",#REF!)</f>
        <v>#REF!</v>
      </c>
      <c r="AO117" s="1038" t="e">
        <f>IF(#REF!="","",#REF!)</f>
        <v>#REF!</v>
      </c>
      <c r="AP117" s="971" t="e">
        <f>IF(#REF!="","",#REF!)</f>
        <v>#REF!</v>
      </c>
      <c r="AQ117" s="1039" t="e">
        <f>IF(#REF!="","",#REF!)</f>
        <v>#REF!</v>
      </c>
      <c r="AR117" s="973" t="e">
        <f>IF(#REF!="","",#REF!)</f>
        <v>#REF!</v>
      </c>
      <c r="AS117" s="974" t="e">
        <f>IF(#REF!="","",#REF!)</f>
        <v>#REF!</v>
      </c>
      <c r="AT117" s="975" t="e">
        <f>IF(#REF!="","",#REF!)</f>
        <v>#REF!</v>
      </c>
      <c r="AU117" s="976" t="e">
        <f>IF(#REF!="","",#REF!)</f>
        <v>#REF!</v>
      </c>
      <c r="AV117" s="977" t="e">
        <f>IF(#REF!="","",#REF!)</f>
        <v>#REF!</v>
      </c>
      <c r="AW117" s="1040" t="e">
        <f>IF(#REF!="","",#REF!)</f>
        <v>#REF!</v>
      </c>
      <c r="AX117" s="987" t="e">
        <f>IF(#REF!="","",#REF!)</f>
        <v>#REF!</v>
      </c>
    </row>
    <row r="118" spans="11:50">
      <c r="AL118" s="1035" t="e">
        <f>IF(#REF!="","",#REF!)</f>
        <v>#REF!</v>
      </c>
      <c r="AM118" s="1036" t="e">
        <f>IF(#REF!="","",#REF!)</f>
        <v>#REF!</v>
      </c>
      <c r="AN118" s="1037" t="e">
        <f>IF(AND(#REF!="",#REF!=1),"",#REF!)</f>
        <v>#REF!</v>
      </c>
      <c r="AO118" s="1038" t="e">
        <f>IF(#REF!="","",#REF!)</f>
        <v>#REF!</v>
      </c>
      <c r="AP118" s="971" t="e">
        <f>IF(#REF!="","",#REF!)</f>
        <v>#REF!</v>
      </c>
      <c r="AQ118" s="1039" t="e">
        <f>IF(#REF!="","",#REF!)</f>
        <v>#REF!</v>
      </c>
      <c r="AR118" s="973" t="e">
        <f>IF(#REF!="","",#REF!)</f>
        <v>#REF!</v>
      </c>
      <c r="AS118" s="974" t="e">
        <f>IF(#REF!="","",#REF!)</f>
        <v>#REF!</v>
      </c>
      <c r="AT118" s="975" t="e">
        <f>IF(#REF!="","",#REF!)</f>
        <v>#REF!</v>
      </c>
      <c r="AU118" s="976" t="e">
        <f>IF(#REF!="","",#REF!)</f>
        <v>#REF!</v>
      </c>
      <c r="AV118" s="977" t="e">
        <f>IF(#REF!="","",#REF!)</f>
        <v>#REF!</v>
      </c>
      <c r="AW118" s="1040" t="e">
        <f>IF(#REF!="","",#REF!)</f>
        <v>#REF!</v>
      </c>
      <c r="AX118" s="987" t="e">
        <f>IF(#REF!="","",#REF!)</f>
        <v>#REF!</v>
      </c>
    </row>
    <row r="119" spans="11:50">
      <c r="AL119" s="1035" t="e">
        <f>IF(#REF!="","",#REF!)</f>
        <v>#REF!</v>
      </c>
      <c r="AM119" s="1036" t="e">
        <f>IF(#REF!="","",#REF!)</f>
        <v>#REF!</v>
      </c>
      <c r="AN119" s="1037" t="e">
        <f>IF(AND(#REF!="",#REF!=1),"",#REF!)</f>
        <v>#REF!</v>
      </c>
      <c r="AO119" s="1038" t="e">
        <f>IF(#REF!="","",#REF!)</f>
        <v>#REF!</v>
      </c>
      <c r="AP119" s="971" t="e">
        <f>IF(#REF!="","",#REF!)</f>
        <v>#REF!</v>
      </c>
      <c r="AQ119" s="1039" t="e">
        <f>IF(#REF!="","",#REF!)</f>
        <v>#REF!</v>
      </c>
      <c r="AR119" s="973" t="e">
        <f>IF(#REF!="","",#REF!)</f>
        <v>#REF!</v>
      </c>
      <c r="AS119" s="974" t="e">
        <f>IF(#REF!="","",#REF!)</f>
        <v>#REF!</v>
      </c>
      <c r="AT119" s="975" t="e">
        <f>IF(#REF!="","",#REF!)</f>
        <v>#REF!</v>
      </c>
      <c r="AU119" s="976" t="e">
        <f>IF(#REF!="","",#REF!)</f>
        <v>#REF!</v>
      </c>
      <c r="AV119" s="977" t="e">
        <f>IF(#REF!="","",#REF!)</f>
        <v>#REF!</v>
      </c>
      <c r="AW119" s="1040" t="e">
        <f>IF(#REF!="","",#REF!)</f>
        <v>#REF!</v>
      </c>
      <c r="AX119" s="987" t="e">
        <f>IF(#REF!="","",#REF!)</f>
        <v>#REF!</v>
      </c>
    </row>
    <row r="120" spans="11:50">
      <c r="AL120" s="1035" t="e">
        <f>IF(#REF!="","",#REF!)</f>
        <v>#REF!</v>
      </c>
      <c r="AM120" s="1036" t="e">
        <f>IF(#REF!="","",#REF!)</f>
        <v>#REF!</v>
      </c>
      <c r="AN120" s="1037" t="e">
        <f>IF(AND(#REF!="",#REF!=1),"",#REF!)</f>
        <v>#REF!</v>
      </c>
      <c r="AO120" s="1038" t="e">
        <f>IF(#REF!="","",#REF!)</f>
        <v>#REF!</v>
      </c>
      <c r="AP120" s="971" t="e">
        <f>IF(#REF!="","",#REF!)</f>
        <v>#REF!</v>
      </c>
      <c r="AQ120" s="1039" t="e">
        <f>IF(#REF!="","",#REF!)</f>
        <v>#REF!</v>
      </c>
      <c r="AR120" s="973" t="e">
        <f>IF(#REF!="","",#REF!)</f>
        <v>#REF!</v>
      </c>
      <c r="AS120" s="974" t="e">
        <f>IF(#REF!="","",#REF!)</f>
        <v>#REF!</v>
      </c>
      <c r="AT120" s="975" t="e">
        <f>IF(#REF!="","",#REF!)</f>
        <v>#REF!</v>
      </c>
      <c r="AU120" s="976" t="e">
        <f>IF(#REF!="","",#REF!)</f>
        <v>#REF!</v>
      </c>
      <c r="AV120" s="977" t="e">
        <f>IF(#REF!="","",#REF!)</f>
        <v>#REF!</v>
      </c>
      <c r="AW120" s="1040" t="e">
        <f>IF(#REF!="","",#REF!)</f>
        <v>#REF!</v>
      </c>
      <c r="AX120" s="987" t="e">
        <f>IF(#REF!="","",#REF!)</f>
        <v>#REF!</v>
      </c>
    </row>
    <row r="121" spans="11:50">
      <c r="AL121" s="1035" t="e">
        <f>IF(#REF!="","",#REF!)</f>
        <v>#REF!</v>
      </c>
      <c r="AM121" s="1036" t="e">
        <f>IF(#REF!="","",#REF!)</f>
        <v>#REF!</v>
      </c>
      <c r="AN121" s="1037" t="e">
        <f>IF(AND(#REF!="",#REF!=1),"",#REF!)</f>
        <v>#REF!</v>
      </c>
      <c r="AO121" s="1038" t="e">
        <f>IF(#REF!="","",#REF!)</f>
        <v>#REF!</v>
      </c>
      <c r="AP121" s="971" t="e">
        <f>IF(#REF!="","",#REF!)</f>
        <v>#REF!</v>
      </c>
      <c r="AQ121" s="1039" t="e">
        <f>IF(#REF!="","",#REF!)</f>
        <v>#REF!</v>
      </c>
      <c r="AR121" s="973" t="e">
        <f>IF(#REF!="","",#REF!)</f>
        <v>#REF!</v>
      </c>
      <c r="AS121" s="974" t="e">
        <f>IF(#REF!="","",#REF!)</f>
        <v>#REF!</v>
      </c>
      <c r="AT121" s="975" t="e">
        <f>IF(#REF!="","",#REF!)</f>
        <v>#REF!</v>
      </c>
      <c r="AU121" s="976" t="e">
        <f>IF(#REF!="","",#REF!)</f>
        <v>#REF!</v>
      </c>
      <c r="AV121" s="977" t="e">
        <f>IF(#REF!="","",#REF!)</f>
        <v>#REF!</v>
      </c>
      <c r="AW121" s="1040" t="e">
        <f>IF(#REF!="","",#REF!)</f>
        <v>#REF!</v>
      </c>
      <c r="AX121" s="987" t="e">
        <f>IF(#REF!="","",#REF!)</f>
        <v>#REF!</v>
      </c>
    </row>
    <row r="122" spans="11:50">
      <c r="AL122" s="1035" t="e">
        <f>IF(#REF!="","",#REF!)</f>
        <v>#REF!</v>
      </c>
      <c r="AM122" s="1036" t="e">
        <f>IF(#REF!="","",#REF!)</f>
        <v>#REF!</v>
      </c>
      <c r="AN122" s="1037" t="e">
        <f>IF(AND(#REF!="",#REF!=1),"",#REF!)</f>
        <v>#REF!</v>
      </c>
      <c r="AO122" s="1038" t="e">
        <f>IF(#REF!="","",#REF!)</f>
        <v>#REF!</v>
      </c>
      <c r="AP122" s="971" t="e">
        <f>IF(#REF!="","",#REF!)</f>
        <v>#REF!</v>
      </c>
      <c r="AQ122" s="1039" t="e">
        <f>IF(#REF!="","",#REF!)</f>
        <v>#REF!</v>
      </c>
      <c r="AR122" s="973" t="e">
        <f>IF(#REF!="","",#REF!)</f>
        <v>#REF!</v>
      </c>
      <c r="AS122" s="974" t="e">
        <f>IF(#REF!="","",#REF!)</f>
        <v>#REF!</v>
      </c>
      <c r="AT122" s="975" t="e">
        <f>IF(#REF!="","",#REF!)</f>
        <v>#REF!</v>
      </c>
      <c r="AU122" s="976" t="e">
        <f>IF(#REF!="","",#REF!)</f>
        <v>#REF!</v>
      </c>
      <c r="AV122" s="977" t="e">
        <f>IF(#REF!="","",#REF!)</f>
        <v>#REF!</v>
      </c>
      <c r="AW122" s="1040" t="e">
        <f>IF(#REF!="","",#REF!)</f>
        <v>#REF!</v>
      </c>
      <c r="AX122" s="987" t="e">
        <f>IF(#REF!="","",#REF!)</f>
        <v>#REF!</v>
      </c>
    </row>
    <row r="123" spans="11:50">
      <c r="AL123" s="1035" t="e">
        <f>IF(#REF!="","",#REF!)</f>
        <v>#REF!</v>
      </c>
      <c r="AM123" s="1036" t="e">
        <f>IF(#REF!="","",#REF!)</f>
        <v>#REF!</v>
      </c>
      <c r="AN123" s="1037" t="e">
        <f>IF(AND(#REF!="",#REF!=1),"",#REF!)</f>
        <v>#REF!</v>
      </c>
      <c r="AO123" s="1038" t="e">
        <f>IF(#REF!="","",#REF!)</f>
        <v>#REF!</v>
      </c>
      <c r="AP123" s="971" t="e">
        <f>IF(#REF!="","",#REF!)</f>
        <v>#REF!</v>
      </c>
      <c r="AQ123" s="1039" t="e">
        <f>IF(#REF!="","",#REF!)</f>
        <v>#REF!</v>
      </c>
      <c r="AR123" s="973" t="e">
        <f>IF(#REF!="","",#REF!)</f>
        <v>#REF!</v>
      </c>
      <c r="AS123" s="974" t="e">
        <f>IF(#REF!="","",#REF!)</f>
        <v>#REF!</v>
      </c>
      <c r="AT123" s="975" t="e">
        <f>IF(#REF!="","",#REF!)</f>
        <v>#REF!</v>
      </c>
      <c r="AU123" s="976" t="e">
        <f>IF(#REF!="","",#REF!)</f>
        <v>#REF!</v>
      </c>
      <c r="AV123" s="977" t="e">
        <f>IF(#REF!="","",#REF!)</f>
        <v>#REF!</v>
      </c>
      <c r="AW123" s="1040" t="e">
        <f>IF(#REF!="","",#REF!)</f>
        <v>#REF!</v>
      </c>
      <c r="AX123" s="987" t="e">
        <f>IF(#REF!="","",#REF!)</f>
        <v>#REF!</v>
      </c>
    </row>
    <row r="124" spans="11:50">
      <c r="AL124" s="1035" t="e">
        <f>IF(#REF!="","",#REF!)</f>
        <v>#REF!</v>
      </c>
      <c r="AM124" s="1036" t="e">
        <f>IF(#REF!="","",#REF!)</f>
        <v>#REF!</v>
      </c>
      <c r="AN124" s="1037" t="e">
        <f>IF(AND(#REF!="",#REF!=1),"",#REF!)</f>
        <v>#REF!</v>
      </c>
      <c r="AO124" s="1038" t="e">
        <f>IF(#REF!="","",#REF!)</f>
        <v>#REF!</v>
      </c>
      <c r="AP124" s="971" t="e">
        <f>IF(#REF!="","",#REF!)</f>
        <v>#REF!</v>
      </c>
      <c r="AQ124" s="1039" t="e">
        <f>IF(#REF!="","",#REF!)</f>
        <v>#REF!</v>
      </c>
      <c r="AR124" s="973" t="e">
        <f>IF(#REF!="","",#REF!)</f>
        <v>#REF!</v>
      </c>
      <c r="AS124" s="974" t="e">
        <f>IF(#REF!="","",#REF!)</f>
        <v>#REF!</v>
      </c>
      <c r="AT124" s="975" t="e">
        <f>IF(#REF!="","",#REF!)</f>
        <v>#REF!</v>
      </c>
      <c r="AU124" s="976" t="e">
        <f>IF(#REF!="","",#REF!)</f>
        <v>#REF!</v>
      </c>
      <c r="AV124" s="977" t="e">
        <f>IF(#REF!="","",#REF!)</f>
        <v>#REF!</v>
      </c>
      <c r="AW124" s="1040" t="e">
        <f>IF(#REF!="","",#REF!)</f>
        <v>#REF!</v>
      </c>
      <c r="AX124" s="987" t="e">
        <f>IF(#REF!="","",#REF!)</f>
        <v>#REF!</v>
      </c>
    </row>
    <row r="125" spans="11:50">
      <c r="AL125" s="1035" t="e">
        <f>IF(#REF!="","",#REF!)</f>
        <v>#REF!</v>
      </c>
      <c r="AM125" s="1036" t="e">
        <f>IF(#REF!="","",#REF!)</f>
        <v>#REF!</v>
      </c>
      <c r="AN125" s="1037" t="e">
        <f>IF(AND(#REF!="",#REF!=1),"",#REF!)</f>
        <v>#REF!</v>
      </c>
      <c r="AO125" s="1038" t="e">
        <f>IF(#REF!="","",#REF!)</f>
        <v>#REF!</v>
      </c>
      <c r="AP125" s="971" t="e">
        <f>IF(#REF!="","",#REF!)</f>
        <v>#REF!</v>
      </c>
      <c r="AQ125" s="1039" t="e">
        <f>IF(#REF!="","",#REF!)</f>
        <v>#REF!</v>
      </c>
      <c r="AR125" s="973" t="e">
        <f>IF(#REF!="","",#REF!)</f>
        <v>#REF!</v>
      </c>
      <c r="AS125" s="974" t="e">
        <f>IF(#REF!="","",#REF!)</f>
        <v>#REF!</v>
      </c>
      <c r="AT125" s="975" t="e">
        <f>IF(#REF!="","",#REF!)</f>
        <v>#REF!</v>
      </c>
      <c r="AU125" s="976" t="e">
        <f>IF(#REF!="","",#REF!)</f>
        <v>#REF!</v>
      </c>
      <c r="AV125" s="977" t="e">
        <f>IF(#REF!="","",#REF!)</f>
        <v>#REF!</v>
      </c>
      <c r="AW125" s="1040" t="e">
        <f>IF(#REF!="","",#REF!)</f>
        <v>#REF!</v>
      </c>
      <c r="AX125" s="987" t="e">
        <f>IF(#REF!="","",#REF!)</f>
        <v>#REF!</v>
      </c>
    </row>
    <row r="126" spans="11:50">
      <c r="AL126" s="1035" t="e">
        <f>IF(#REF!="","",#REF!)</f>
        <v>#REF!</v>
      </c>
      <c r="AM126" s="1036" t="e">
        <f>IF(#REF!="","",#REF!)</f>
        <v>#REF!</v>
      </c>
      <c r="AN126" s="1037" t="e">
        <f>IF(AND(#REF!="",#REF!=1),"",#REF!)</f>
        <v>#REF!</v>
      </c>
      <c r="AO126" s="1038" t="e">
        <f>IF(#REF!="","",#REF!)</f>
        <v>#REF!</v>
      </c>
      <c r="AP126" s="971" t="e">
        <f>IF(#REF!="","",#REF!)</f>
        <v>#REF!</v>
      </c>
      <c r="AQ126" s="1039" t="e">
        <f>IF(#REF!="","",#REF!)</f>
        <v>#REF!</v>
      </c>
      <c r="AR126" s="973" t="e">
        <f>IF(#REF!="","",#REF!)</f>
        <v>#REF!</v>
      </c>
      <c r="AS126" s="974" t="e">
        <f>IF(#REF!="","",#REF!)</f>
        <v>#REF!</v>
      </c>
      <c r="AT126" s="975" t="e">
        <f>IF(#REF!="","",#REF!)</f>
        <v>#REF!</v>
      </c>
      <c r="AU126" s="976" t="e">
        <f>IF(#REF!="","",#REF!)</f>
        <v>#REF!</v>
      </c>
      <c r="AV126" s="977" t="e">
        <f>IF(#REF!="","",#REF!)</f>
        <v>#REF!</v>
      </c>
      <c r="AW126" s="1040" t="e">
        <f>IF(#REF!="","",#REF!)</f>
        <v>#REF!</v>
      </c>
      <c r="AX126" s="987" t="e">
        <f>IF(#REF!="","",#REF!)</f>
        <v>#REF!</v>
      </c>
    </row>
    <row r="127" spans="11:50">
      <c r="AL127" s="1035" t="e">
        <f>IF(#REF!="","",#REF!)</f>
        <v>#REF!</v>
      </c>
      <c r="AM127" s="1036" t="e">
        <f>IF(#REF!="","",#REF!)</f>
        <v>#REF!</v>
      </c>
      <c r="AN127" s="1037" t="e">
        <f>IF(AND(#REF!="",#REF!=1),"",#REF!)</f>
        <v>#REF!</v>
      </c>
      <c r="AO127" s="1038" t="e">
        <f>IF(#REF!="","",#REF!)</f>
        <v>#REF!</v>
      </c>
      <c r="AP127" s="971" t="e">
        <f>IF(#REF!="","",#REF!)</f>
        <v>#REF!</v>
      </c>
      <c r="AQ127" s="1039" t="e">
        <f>IF(#REF!="","",#REF!)</f>
        <v>#REF!</v>
      </c>
      <c r="AR127" s="973" t="e">
        <f>IF(#REF!="","",#REF!)</f>
        <v>#REF!</v>
      </c>
      <c r="AS127" s="974" t="e">
        <f>IF(#REF!="","",#REF!)</f>
        <v>#REF!</v>
      </c>
      <c r="AT127" s="975" t="e">
        <f>IF(#REF!="","",#REF!)</f>
        <v>#REF!</v>
      </c>
      <c r="AU127" s="976" t="e">
        <f>IF(#REF!="","",#REF!)</f>
        <v>#REF!</v>
      </c>
      <c r="AV127" s="977" t="e">
        <f>IF(#REF!="","",#REF!)</f>
        <v>#REF!</v>
      </c>
      <c r="AW127" s="1040" t="e">
        <f>IF(#REF!="","",#REF!)</f>
        <v>#REF!</v>
      </c>
      <c r="AX127" s="987" t="e">
        <f>IF(#REF!="","",#REF!)</f>
        <v>#REF!</v>
      </c>
    </row>
    <row r="128" spans="11:50">
      <c r="AL128" s="1035" t="e">
        <f>IF(#REF!="","",#REF!)</f>
        <v>#REF!</v>
      </c>
      <c r="AM128" s="1036" t="e">
        <f>IF(#REF!="","",#REF!)</f>
        <v>#REF!</v>
      </c>
      <c r="AN128" s="1037" t="e">
        <f>IF(AND(#REF!="",#REF!=1),"",#REF!)</f>
        <v>#REF!</v>
      </c>
      <c r="AO128" s="1038" t="e">
        <f>IF(#REF!="","",#REF!)</f>
        <v>#REF!</v>
      </c>
      <c r="AP128" s="971" t="e">
        <f>IF(#REF!="","",#REF!)</f>
        <v>#REF!</v>
      </c>
      <c r="AQ128" s="1039" t="e">
        <f>IF(#REF!="","",#REF!)</f>
        <v>#REF!</v>
      </c>
      <c r="AR128" s="973" t="e">
        <f>IF(#REF!="","",#REF!)</f>
        <v>#REF!</v>
      </c>
      <c r="AS128" s="974" t="e">
        <f>IF(#REF!="","",#REF!)</f>
        <v>#REF!</v>
      </c>
      <c r="AT128" s="975" t="e">
        <f>IF(#REF!="","",#REF!)</f>
        <v>#REF!</v>
      </c>
      <c r="AU128" s="976" t="e">
        <f>IF(#REF!="","",#REF!)</f>
        <v>#REF!</v>
      </c>
      <c r="AV128" s="977" t="e">
        <f>IF(#REF!="","",#REF!)</f>
        <v>#REF!</v>
      </c>
      <c r="AW128" s="1040" t="e">
        <f>IF(#REF!="","",#REF!)</f>
        <v>#REF!</v>
      </c>
      <c r="AX128" s="987" t="e">
        <f>IF(#REF!="","",#REF!)</f>
        <v>#REF!</v>
      </c>
    </row>
    <row r="129" spans="38:50">
      <c r="AL129" s="1035" t="e">
        <f>IF(#REF!="","",#REF!)</f>
        <v>#REF!</v>
      </c>
      <c r="AM129" s="1036" t="e">
        <f>IF(#REF!="","",#REF!)</f>
        <v>#REF!</v>
      </c>
      <c r="AN129" s="1037" t="e">
        <f>IF(AND(#REF!="",#REF!=1),"",#REF!)</f>
        <v>#REF!</v>
      </c>
      <c r="AO129" s="1038" t="e">
        <f>IF(#REF!="","",#REF!)</f>
        <v>#REF!</v>
      </c>
      <c r="AP129" s="971" t="e">
        <f>IF(#REF!="","",#REF!)</f>
        <v>#REF!</v>
      </c>
      <c r="AQ129" s="1039" t="e">
        <f>IF(#REF!="","",#REF!)</f>
        <v>#REF!</v>
      </c>
      <c r="AR129" s="973" t="e">
        <f>IF(#REF!="","",#REF!)</f>
        <v>#REF!</v>
      </c>
      <c r="AS129" s="974" t="e">
        <f>IF(#REF!="","",#REF!)</f>
        <v>#REF!</v>
      </c>
      <c r="AT129" s="975" t="e">
        <f>IF(#REF!="","",#REF!)</f>
        <v>#REF!</v>
      </c>
      <c r="AU129" s="976" t="e">
        <f>IF(#REF!="","",#REF!)</f>
        <v>#REF!</v>
      </c>
      <c r="AV129" s="977" t="e">
        <f>IF(#REF!="","",#REF!)</f>
        <v>#REF!</v>
      </c>
      <c r="AW129" s="1040" t="e">
        <f>IF(#REF!="","",#REF!)</f>
        <v>#REF!</v>
      </c>
      <c r="AX129" s="987" t="e">
        <f>IF(#REF!="","",#REF!)</f>
        <v>#REF!</v>
      </c>
    </row>
    <row r="130" spans="38:50">
      <c r="AL130" s="1035" t="e">
        <f>IF(#REF!="","",#REF!)</f>
        <v>#REF!</v>
      </c>
      <c r="AM130" s="1036" t="e">
        <f>IF(#REF!="","",#REF!)</f>
        <v>#REF!</v>
      </c>
      <c r="AN130" s="1037" t="e">
        <f>IF(AND(#REF!="",#REF!=1),"",#REF!)</f>
        <v>#REF!</v>
      </c>
      <c r="AO130" s="1038" t="e">
        <f>IF(#REF!="","",#REF!)</f>
        <v>#REF!</v>
      </c>
      <c r="AP130" s="971" t="e">
        <f>IF(#REF!="","",#REF!)</f>
        <v>#REF!</v>
      </c>
      <c r="AQ130" s="1039" t="e">
        <f>IF(#REF!="","",#REF!)</f>
        <v>#REF!</v>
      </c>
      <c r="AR130" s="973" t="e">
        <f>IF(#REF!="","",#REF!)</f>
        <v>#REF!</v>
      </c>
      <c r="AS130" s="974" t="e">
        <f>IF(#REF!="","",#REF!)</f>
        <v>#REF!</v>
      </c>
      <c r="AT130" s="975" t="e">
        <f>IF(#REF!="","",#REF!)</f>
        <v>#REF!</v>
      </c>
      <c r="AU130" s="976" t="e">
        <f>IF(#REF!="","",#REF!)</f>
        <v>#REF!</v>
      </c>
      <c r="AV130" s="977" t="e">
        <f>IF(#REF!="","",#REF!)</f>
        <v>#REF!</v>
      </c>
      <c r="AW130" s="1040" t="e">
        <f>IF(#REF!="","",#REF!)</f>
        <v>#REF!</v>
      </c>
      <c r="AX130" s="987" t="e">
        <f>IF(#REF!="","",#REF!)</f>
        <v>#REF!</v>
      </c>
    </row>
    <row r="131" spans="38:50">
      <c r="AL131" s="1035" t="e">
        <f>IF(#REF!="","",#REF!)</f>
        <v>#REF!</v>
      </c>
      <c r="AM131" s="1036" t="e">
        <f>IF(#REF!="","",#REF!)</f>
        <v>#REF!</v>
      </c>
      <c r="AN131" s="1037" t="e">
        <f>IF(AND(#REF!="",#REF!=1),"",#REF!)</f>
        <v>#REF!</v>
      </c>
      <c r="AO131" s="1038" t="e">
        <f>IF(#REF!="","",#REF!)</f>
        <v>#REF!</v>
      </c>
      <c r="AP131" s="971" t="e">
        <f>IF(#REF!="","",#REF!)</f>
        <v>#REF!</v>
      </c>
      <c r="AQ131" s="1039" t="e">
        <f>IF(#REF!="","",#REF!)</f>
        <v>#REF!</v>
      </c>
      <c r="AR131" s="973" t="e">
        <f>IF(#REF!="","",#REF!)</f>
        <v>#REF!</v>
      </c>
      <c r="AS131" s="974" t="e">
        <f>IF(#REF!="","",#REF!)</f>
        <v>#REF!</v>
      </c>
      <c r="AT131" s="975" t="e">
        <f>IF(#REF!="","",#REF!)</f>
        <v>#REF!</v>
      </c>
      <c r="AU131" s="976" t="e">
        <f>IF(#REF!="","",#REF!)</f>
        <v>#REF!</v>
      </c>
      <c r="AV131" s="977" t="e">
        <f>IF(#REF!="","",#REF!)</f>
        <v>#REF!</v>
      </c>
      <c r="AW131" s="1040" t="e">
        <f>IF(#REF!="","",#REF!)</f>
        <v>#REF!</v>
      </c>
      <c r="AX131" s="987" t="e">
        <f>IF(#REF!="","",#REF!)</f>
        <v>#REF!</v>
      </c>
    </row>
    <row r="132" spans="38:50">
      <c r="AL132" s="1035" t="e">
        <f>IF(#REF!="","",#REF!)</f>
        <v>#REF!</v>
      </c>
      <c r="AM132" s="1036" t="e">
        <f>IF(#REF!="","",#REF!)</f>
        <v>#REF!</v>
      </c>
      <c r="AN132" s="1037" t="e">
        <f>IF(AND(#REF!="",#REF!=1),"",#REF!)</f>
        <v>#REF!</v>
      </c>
      <c r="AO132" s="1038" t="e">
        <f>IF(#REF!="","",#REF!)</f>
        <v>#REF!</v>
      </c>
      <c r="AP132" s="971" t="e">
        <f>IF(#REF!="","",#REF!)</f>
        <v>#REF!</v>
      </c>
      <c r="AQ132" s="1039" t="e">
        <f>IF(#REF!="","",#REF!)</f>
        <v>#REF!</v>
      </c>
      <c r="AR132" s="973" t="e">
        <f>IF(#REF!="","",#REF!)</f>
        <v>#REF!</v>
      </c>
      <c r="AS132" s="974" t="e">
        <f>IF(#REF!="","",#REF!)</f>
        <v>#REF!</v>
      </c>
      <c r="AT132" s="975" t="e">
        <f>IF(#REF!="","",#REF!)</f>
        <v>#REF!</v>
      </c>
      <c r="AU132" s="976" t="e">
        <f>IF(#REF!="","",#REF!)</f>
        <v>#REF!</v>
      </c>
      <c r="AV132" s="977" t="e">
        <f>IF(#REF!="","",#REF!)</f>
        <v>#REF!</v>
      </c>
      <c r="AW132" s="1040" t="e">
        <f>IF(#REF!="","",#REF!)</f>
        <v>#REF!</v>
      </c>
      <c r="AX132" s="987" t="e">
        <f>IF(#REF!="","",#REF!)</f>
        <v>#REF!</v>
      </c>
    </row>
    <row r="133" spans="38:50">
      <c r="AL133" s="1035" t="e">
        <f>IF(#REF!="","",#REF!)</f>
        <v>#REF!</v>
      </c>
      <c r="AM133" s="1036" t="e">
        <f>IF(#REF!="","",#REF!)</f>
        <v>#REF!</v>
      </c>
      <c r="AN133" s="1037" t="e">
        <f>IF(AND(#REF!="",#REF!=1),"",#REF!)</f>
        <v>#REF!</v>
      </c>
      <c r="AO133" s="1038" t="e">
        <f>IF(#REF!="","",#REF!)</f>
        <v>#REF!</v>
      </c>
      <c r="AP133" s="971" t="e">
        <f>IF(#REF!="","",#REF!)</f>
        <v>#REF!</v>
      </c>
      <c r="AQ133" s="1039" t="e">
        <f>IF(#REF!="","",#REF!)</f>
        <v>#REF!</v>
      </c>
      <c r="AR133" s="973" t="e">
        <f>IF(#REF!="","",#REF!)</f>
        <v>#REF!</v>
      </c>
      <c r="AS133" s="974" t="e">
        <f>IF(#REF!="","",#REF!)</f>
        <v>#REF!</v>
      </c>
      <c r="AT133" s="975" t="e">
        <f>IF(#REF!="","",#REF!)</f>
        <v>#REF!</v>
      </c>
      <c r="AU133" s="976" t="e">
        <f>IF(#REF!="","",#REF!)</f>
        <v>#REF!</v>
      </c>
      <c r="AV133" s="977" t="e">
        <f>IF(#REF!="","",#REF!)</f>
        <v>#REF!</v>
      </c>
      <c r="AW133" s="1040" t="e">
        <f>IF(#REF!="","",#REF!)</f>
        <v>#REF!</v>
      </c>
      <c r="AX133" s="987" t="e">
        <f>IF(#REF!="","",#REF!)</f>
        <v>#REF!</v>
      </c>
    </row>
    <row r="134" spans="38:50">
      <c r="AL134" s="1035" t="e">
        <f>IF(#REF!="","",#REF!)</f>
        <v>#REF!</v>
      </c>
      <c r="AM134" s="1036" t="e">
        <f>IF(#REF!="","",#REF!)</f>
        <v>#REF!</v>
      </c>
      <c r="AN134" s="1037" t="e">
        <f>IF(AND(#REF!="",#REF!=1),"",#REF!)</f>
        <v>#REF!</v>
      </c>
      <c r="AO134" s="1038" t="e">
        <f>IF(#REF!="","",#REF!)</f>
        <v>#REF!</v>
      </c>
      <c r="AP134" s="971" t="e">
        <f>IF(#REF!="","",#REF!)</f>
        <v>#REF!</v>
      </c>
      <c r="AQ134" s="1039" t="e">
        <f>IF(#REF!="","",#REF!)</f>
        <v>#REF!</v>
      </c>
      <c r="AR134" s="973" t="e">
        <f>IF(#REF!="","",#REF!)</f>
        <v>#REF!</v>
      </c>
      <c r="AS134" s="974" t="e">
        <f>IF(#REF!="","",#REF!)</f>
        <v>#REF!</v>
      </c>
      <c r="AT134" s="975" t="e">
        <f>IF(#REF!="","",#REF!)</f>
        <v>#REF!</v>
      </c>
      <c r="AU134" s="976" t="e">
        <f>IF(#REF!="","",#REF!)</f>
        <v>#REF!</v>
      </c>
      <c r="AV134" s="977" t="e">
        <f>IF(#REF!="","",#REF!)</f>
        <v>#REF!</v>
      </c>
      <c r="AW134" s="1040" t="e">
        <f>IF(#REF!="","",#REF!)</f>
        <v>#REF!</v>
      </c>
      <c r="AX134" s="987" t="e">
        <f>IF(#REF!="","",#REF!)</f>
        <v>#REF!</v>
      </c>
    </row>
    <row r="135" spans="38:50">
      <c r="AL135" s="1035" t="e">
        <f>IF(#REF!="","",#REF!)</f>
        <v>#REF!</v>
      </c>
      <c r="AM135" s="1036" t="e">
        <f>IF(#REF!="","",#REF!)</f>
        <v>#REF!</v>
      </c>
      <c r="AN135" s="1037" t="e">
        <f>IF(AND(#REF!="",#REF!=1),"",#REF!)</f>
        <v>#REF!</v>
      </c>
      <c r="AO135" s="1038" t="e">
        <f>IF(#REF!="","",#REF!)</f>
        <v>#REF!</v>
      </c>
      <c r="AP135" s="971" t="e">
        <f>IF(#REF!="","",#REF!)</f>
        <v>#REF!</v>
      </c>
      <c r="AQ135" s="1039" t="e">
        <f>IF(#REF!="","",#REF!)</f>
        <v>#REF!</v>
      </c>
      <c r="AR135" s="973" t="e">
        <f>IF(#REF!="","",#REF!)</f>
        <v>#REF!</v>
      </c>
      <c r="AS135" s="974" t="e">
        <f>IF(#REF!="","",#REF!)</f>
        <v>#REF!</v>
      </c>
      <c r="AT135" s="975" t="e">
        <f>IF(#REF!="","",#REF!)</f>
        <v>#REF!</v>
      </c>
      <c r="AU135" s="976" t="e">
        <f>IF(#REF!="","",#REF!)</f>
        <v>#REF!</v>
      </c>
      <c r="AV135" s="977" t="e">
        <f>IF(#REF!="","",#REF!)</f>
        <v>#REF!</v>
      </c>
      <c r="AW135" s="1040" t="e">
        <f>IF(#REF!="","",#REF!)</f>
        <v>#REF!</v>
      </c>
      <c r="AX135" s="987" t="e">
        <f>IF(#REF!="","",#REF!)</f>
        <v>#REF!</v>
      </c>
    </row>
    <row r="136" spans="38:50">
      <c r="AL136" s="1035" t="e">
        <f>IF(#REF!="","",#REF!)</f>
        <v>#REF!</v>
      </c>
      <c r="AM136" s="1036" t="e">
        <f>IF(#REF!="","",#REF!)</f>
        <v>#REF!</v>
      </c>
      <c r="AN136" s="1037" t="e">
        <f>IF(AND(#REF!="",#REF!=1),"",#REF!)</f>
        <v>#REF!</v>
      </c>
      <c r="AO136" s="1038" t="e">
        <f>IF(#REF!="","",#REF!)</f>
        <v>#REF!</v>
      </c>
      <c r="AP136" s="971" t="e">
        <f>IF(#REF!="","",#REF!)</f>
        <v>#REF!</v>
      </c>
      <c r="AQ136" s="1039" t="e">
        <f>IF(#REF!="","",#REF!)</f>
        <v>#REF!</v>
      </c>
      <c r="AR136" s="973" t="e">
        <f>IF(#REF!="","",#REF!)</f>
        <v>#REF!</v>
      </c>
      <c r="AS136" s="974" t="e">
        <f>IF(#REF!="","",#REF!)</f>
        <v>#REF!</v>
      </c>
      <c r="AT136" s="975" t="e">
        <f>IF(#REF!="","",#REF!)</f>
        <v>#REF!</v>
      </c>
      <c r="AU136" s="976" t="e">
        <f>IF(#REF!="","",#REF!)</f>
        <v>#REF!</v>
      </c>
      <c r="AV136" s="977" t="e">
        <f>IF(#REF!="","",#REF!)</f>
        <v>#REF!</v>
      </c>
      <c r="AW136" s="1040" t="e">
        <f>IF(#REF!="","",#REF!)</f>
        <v>#REF!</v>
      </c>
      <c r="AX136" s="987" t="e">
        <f>IF(#REF!="","",#REF!)</f>
        <v>#REF!</v>
      </c>
    </row>
    <row r="137" spans="38:50">
      <c r="AL137" s="1035" t="e">
        <f>IF(#REF!="","",#REF!)</f>
        <v>#REF!</v>
      </c>
      <c r="AM137" s="1036" t="e">
        <f>IF(#REF!="","",#REF!)</f>
        <v>#REF!</v>
      </c>
      <c r="AN137" s="1037" t="e">
        <f>IF(AND(#REF!="",#REF!=1),"",#REF!)</f>
        <v>#REF!</v>
      </c>
      <c r="AO137" s="1038" t="e">
        <f>IF(#REF!="","",#REF!)</f>
        <v>#REF!</v>
      </c>
      <c r="AP137" s="971" t="e">
        <f>IF(#REF!="","",#REF!)</f>
        <v>#REF!</v>
      </c>
      <c r="AQ137" s="1039" t="e">
        <f>IF(#REF!="","",#REF!)</f>
        <v>#REF!</v>
      </c>
      <c r="AR137" s="973" t="e">
        <f>IF(#REF!="","",#REF!)</f>
        <v>#REF!</v>
      </c>
      <c r="AS137" s="974" t="e">
        <f>IF(#REF!="","",#REF!)</f>
        <v>#REF!</v>
      </c>
      <c r="AT137" s="975" t="e">
        <f>IF(#REF!="","",#REF!)</f>
        <v>#REF!</v>
      </c>
      <c r="AU137" s="976" t="e">
        <f>IF(#REF!="","",#REF!)</f>
        <v>#REF!</v>
      </c>
      <c r="AV137" s="977" t="e">
        <f>IF(#REF!="","",#REF!)</f>
        <v>#REF!</v>
      </c>
      <c r="AW137" s="1040" t="e">
        <f>IF(#REF!="","",#REF!)</f>
        <v>#REF!</v>
      </c>
      <c r="AX137" s="987" t="e">
        <f>IF(#REF!="","",#REF!)</f>
        <v>#REF!</v>
      </c>
    </row>
    <row r="138" spans="38:50">
      <c r="AL138" s="1035" t="e">
        <f>IF(#REF!="","",#REF!)</f>
        <v>#REF!</v>
      </c>
      <c r="AM138" s="1036" t="e">
        <f>IF(#REF!="","",#REF!)</f>
        <v>#REF!</v>
      </c>
      <c r="AN138" s="1037" t="e">
        <f>IF(AND(#REF!="",#REF!=1),"",#REF!)</f>
        <v>#REF!</v>
      </c>
      <c r="AO138" s="1038" t="e">
        <f>IF(#REF!="","",#REF!)</f>
        <v>#REF!</v>
      </c>
      <c r="AP138" s="971" t="e">
        <f>IF(#REF!="","",#REF!)</f>
        <v>#REF!</v>
      </c>
      <c r="AQ138" s="1039" t="e">
        <f>IF(#REF!="","",#REF!)</f>
        <v>#REF!</v>
      </c>
      <c r="AR138" s="973" t="e">
        <f>IF(#REF!="","",#REF!)</f>
        <v>#REF!</v>
      </c>
      <c r="AS138" s="974" t="e">
        <f>IF(#REF!="","",#REF!)</f>
        <v>#REF!</v>
      </c>
      <c r="AT138" s="975" t="e">
        <f>IF(#REF!="","",#REF!)</f>
        <v>#REF!</v>
      </c>
      <c r="AU138" s="976" t="e">
        <f>IF(#REF!="","",#REF!)</f>
        <v>#REF!</v>
      </c>
      <c r="AV138" s="977" t="e">
        <f>IF(#REF!="","",#REF!)</f>
        <v>#REF!</v>
      </c>
      <c r="AW138" s="1040" t="e">
        <f>IF(#REF!="","",#REF!)</f>
        <v>#REF!</v>
      </c>
      <c r="AX138" s="987" t="e">
        <f>IF(#REF!="","",#REF!)</f>
        <v>#REF!</v>
      </c>
    </row>
    <row r="139" spans="38:50">
      <c r="AL139" s="1035" t="e">
        <f>IF(#REF!="","",#REF!)</f>
        <v>#REF!</v>
      </c>
      <c r="AM139" s="1036" t="e">
        <f>IF(#REF!="","",#REF!)</f>
        <v>#REF!</v>
      </c>
      <c r="AN139" s="1037" t="e">
        <f>IF(AND(#REF!="",#REF!=1),"",#REF!)</f>
        <v>#REF!</v>
      </c>
      <c r="AO139" s="1038" t="e">
        <f>IF(#REF!="","",#REF!)</f>
        <v>#REF!</v>
      </c>
      <c r="AP139" s="971" t="e">
        <f>IF(#REF!="","",#REF!)</f>
        <v>#REF!</v>
      </c>
      <c r="AQ139" s="1039" t="e">
        <f>IF(#REF!="","",#REF!)</f>
        <v>#REF!</v>
      </c>
      <c r="AR139" s="973" t="e">
        <f>IF(#REF!="","",#REF!)</f>
        <v>#REF!</v>
      </c>
      <c r="AS139" s="974" t="e">
        <f>IF(#REF!="","",#REF!)</f>
        <v>#REF!</v>
      </c>
      <c r="AT139" s="975" t="e">
        <f>IF(#REF!="","",#REF!)</f>
        <v>#REF!</v>
      </c>
      <c r="AU139" s="976" t="e">
        <f>IF(#REF!="","",#REF!)</f>
        <v>#REF!</v>
      </c>
      <c r="AV139" s="977" t="e">
        <f>IF(#REF!="","",#REF!)</f>
        <v>#REF!</v>
      </c>
      <c r="AW139" s="1040" t="e">
        <f>IF(#REF!="","",#REF!)</f>
        <v>#REF!</v>
      </c>
      <c r="AX139" s="987" t="e">
        <f>IF(#REF!="","",#REF!)</f>
        <v>#REF!</v>
      </c>
    </row>
    <row r="140" spans="38:50">
      <c r="AL140" s="1035" t="e">
        <f>IF(#REF!="","",#REF!)</f>
        <v>#REF!</v>
      </c>
      <c r="AM140" s="1036" t="e">
        <f>IF(#REF!="","",#REF!)</f>
        <v>#REF!</v>
      </c>
      <c r="AN140" s="1037" t="e">
        <f>IF(AND(#REF!="",#REF!=1),"",#REF!)</f>
        <v>#REF!</v>
      </c>
      <c r="AO140" s="1038" t="e">
        <f>IF(#REF!="","",#REF!)</f>
        <v>#REF!</v>
      </c>
      <c r="AP140" s="971" t="e">
        <f>IF(#REF!="","",#REF!)</f>
        <v>#REF!</v>
      </c>
      <c r="AQ140" s="1039" t="e">
        <f>IF(#REF!="","",#REF!)</f>
        <v>#REF!</v>
      </c>
      <c r="AR140" s="973" t="e">
        <f>IF(#REF!="","",#REF!)</f>
        <v>#REF!</v>
      </c>
      <c r="AS140" s="974" t="e">
        <f>IF(#REF!="","",#REF!)</f>
        <v>#REF!</v>
      </c>
      <c r="AT140" s="975" t="e">
        <f>IF(#REF!="","",#REF!)</f>
        <v>#REF!</v>
      </c>
      <c r="AU140" s="976" t="e">
        <f>IF(#REF!="","",#REF!)</f>
        <v>#REF!</v>
      </c>
      <c r="AV140" s="977" t="e">
        <f>IF(#REF!="","",#REF!)</f>
        <v>#REF!</v>
      </c>
      <c r="AW140" s="1040" t="e">
        <f>IF(#REF!="","",#REF!)</f>
        <v>#REF!</v>
      </c>
      <c r="AX140" s="987" t="e">
        <f>IF(#REF!="","",#REF!)</f>
        <v>#REF!</v>
      </c>
    </row>
    <row r="141" spans="38:50">
      <c r="AL141" s="1035" t="e">
        <f>IF(#REF!="","",#REF!)</f>
        <v>#REF!</v>
      </c>
      <c r="AM141" s="1036" t="e">
        <f>IF(#REF!="","",#REF!)</f>
        <v>#REF!</v>
      </c>
      <c r="AN141" s="1037" t="e">
        <f>IF(AND(#REF!="",#REF!=1),"",#REF!)</f>
        <v>#REF!</v>
      </c>
      <c r="AO141" s="1038" t="e">
        <f>IF(#REF!="","",#REF!)</f>
        <v>#REF!</v>
      </c>
      <c r="AP141" s="971" t="e">
        <f>IF(#REF!="","",#REF!)</f>
        <v>#REF!</v>
      </c>
      <c r="AQ141" s="1039" t="e">
        <f>IF(#REF!="","",#REF!)</f>
        <v>#REF!</v>
      </c>
      <c r="AR141" s="973" t="e">
        <f>IF(#REF!="","",#REF!)</f>
        <v>#REF!</v>
      </c>
      <c r="AS141" s="974" t="e">
        <f>IF(#REF!="","",#REF!)</f>
        <v>#REF!</v>
      </c>
      <c r="AT141" s="975" t="e">
        <f>IF(#REF!="","",#REF!)</f>
        <v>#REF!</v>
      </c>
      <c r="AU141" s="976" t="e">
        <f>IF(#REF!="","",#REF!)</f>
        <v>#REF!</v>
      </c>
      <c r="AV141" s="977" t="e">
        <f>IF(#REF!="","",#REF!)</f>
        <v>#REF!</v>
      </c>
      <c r="AW141" s="1040" t="e">
        <f>IF(#REF!="","",#REF!)</f>
        <v>#REF!</v>
      </c>
      <c r="AX141" s="987" t="e">
        <f>IF(#REF!="","",#REF!)</f>
        <v>#REF!</v>
      </c>
    </row>
    <row r="142" spans="38:50">
      <c r="AL142" s="1035" t="e">
        <f>IF(#REF!="","",#REF!)</f>
        <v>#REF!</v>
      </c>
      <c r="AM142" s="1036" t="e">
        <f>IF(#REF!="","",#REF!)</f>
        <v>#REF!</v>
      </c>
      <c r="AN142" s="1037" t="e">
        <f>IF(AND(#REF!="",#REF!=1),"",#REF!)</f>
        <v>#REF!</v>
      </c>
      <c r="AO142" s="1038" t="e">
        <f>IF(#REF!="","",#REF!)</f>
        <v>#REF!</v>
      </c>
      <c r="AP142" s="971" t="e">
        <f>IF(#REF!="","",#REF!)</f>
        <v>#REF!</v>
      </c>
      <c r="AQ142" s="1039" t="e">
        <f>IF(#REF!="","",#REF!)</f>
        <v>#REF!</v>
      </c>
      <c r="AR142" s="973" t="e">
        <f>IF(#REF!="","",#REF!)</f>
        <v>#REF!</v>
      </c>
      <c r="AS142" s="974" t="e">
        <f>IF(#REF!="","",#REF!)</f>
        <v>#REF!</v>
      </c>
      <c r="AT142" s="975" t="e">
        <f>IF(#REF!="","",#REF!)</f>
        <v>#REF!</v>
      </c>
      <c r="AU142" s="976" t="e">
        <f>IF(#REF!="","",#REF!)</f>
        <v>#REF!</v>
      </c>
      <c r="AV142" s="977" t="e">
        <f>IF(#REF!="","",#REF!)</f>
        <v>#REF!</v>
      </c>
      <c r="AW142" s="1040" t="e">
        <f>IF(#REF!="","",#REF!)</f>
        <v>#REF!</v>
      </c>
      <c r="AX142" s="987" t="e">
        <f>IF(#REF!="","",#REF!)</f>
        <v>#REF!</v>
      </c>
    </row>
    <row r="143" spans="38:50">
      <c r="AL143" s="1035" t="e">
        <f>IF(#REF!="","",#REF!)</f>
        <v>#REF!</v>
      </c>
      <c r="AM143" s="1036" t="e">
        <f>IF(#REF!="","",#REF!)</f>
        <v>#REF!</v>
      </c>
      <c r="AN143" s="1037" t="e">
        <f>IF(AND(#REF!="",#REF!=1),"",#REF!)</f>
        <v>#REF!</v>
      </c>
      <c r="AO143" s="1038" t="e">
        <f>IF(#REF!="","",#REF!)</f>
        <v>#REF!</v>
      </c>
      <c r="AP143" s="971" t="e">
        <f>IF(#REF!="","",#REF!)</f>
        <v>#REF!</v>
      </c>
      <c r="AQ143" s="1039" t="e">
        <f>IF(#REF!="","",#REF!)</f>
        <v>#REF!</v>
      </c>
      <c r="AR143" s="973" t="e">
        <f>IF(#REF!="","",#REF!)</f>
        <v>#REF!</v>
      </c>
      <c r="AS143" s="974" t="e">
        <f>IF(#REF!="","",#REF!)</f>
        <v>#REF!</v>
      </c>
      <c r="AT143" s="975" t="e">
        <f>IF(#REF!="","",#REF!)</f>
        <v>#REF!</v>
      </c>
      <c r="AU143" s="976" t="e">
        <f>IF(#REF!="","",#REF!)</f>
        <v>#REF!</v>
      </c>
      <c r="AV143" s="977" t="e">
        <f>IF(#REF!="","",#REF!)</f>
        <v>#REF!</v>
      </c>
      <c r="AW143" s="1040" t="e">
        <f>IF(#REF!="","",#REF!)</f>
        <v>#REF!</v>
      </c>
      <c r="AX143" s="987" t="e">
        <f>IF(#REF!="","",#REF!)</f>
        <v>#REF!</v>
      </c>
    </row>
    <row r="144" spans="38:50">
      <c r="AL144" s="1035" t="e">
        <f>IF(#REF!="","",#REF!)</f>
        <v>#REF!</v>
      </c>
      <c r="AM144" s="1036" t="e">
        <f>IF(#REF!="","",#REF!)</f>
        <v>#REF!</v>
      </c>
      <c r="AN144" s="1037" t="e">
        <f>IF(AND(#REF!="",#REF!=1),"",#REF!)</f>
        <v>#REF!</v>
      </c>
      <c r="AO144" s="1038" t="e">
        <f>IF(#REF!="","",#REF!)</f>
        <v>#REF!</v>
      </c>
      <c r="AP144" s="971" t="e">
        <f>IF(#REF!="","",#REF!)</f>
        <v>#REF!</v>
      </c>
      <c r="AQ144" s="1039" t="e">
        <f>IF(#REF!="","",#REF!)</f>
        <v>#REF!</v>
      </c>
      <c r="AR144" s="973" t="e">
        <f>IF(#REF!="","",#REF!)</f>
        <v>#REF!</v>
      </c>
      <c r="AS144" s="974" t="e">
        <f>IF(#REF!="","",#REF!)</f>
        <v>#REF!</v>
      </c>
      <c r="AT144" s="975" t="e">
        <f>IF(#REF!="","",#REF!)</f>
        <v>#REF!</v>
      </c>
      <c r="AU144" s="976" t="e">
        <f>IF(#REF!="","",#REF!)</f>
        <v>#REF!</v>
      </c>
      <c r="AV144" s="977" t="e">
        <f>IF(#REF!="","",#REF!)</f>
        <v>#REF!</v>
      </c>
      <c r="AW144" s="1040" t="e">
        <f>IF(#REF!="","",#REF!)</f>
        <v>#REF!</v>
      </c>
      <c r="AX144" s="987" t="e">
        <f>IF(#REF!="","",#REF!)</f>
        <v>#REF!</v>
      </c>
    </row>
    <row r="145" spans="38:50">
      <c r="AL145" s="1035" t="e">
        <f>IF(#REF!="","",#REF!)</f>
        <v>#REF!</v>
      </c>
      <c r="AM145" s="1036" t="e">
        <f>IF(#REF!="","",#REF!)</f>
        <v>#REF!</v>
      </c>
      <c r="AN145" s="1037" t="e">
        <f>IF(AND(#REF!="",#REF!=1),"",#REF!)</f>
        <v>#REF!</v>
      </c>
      <c r="AO145" s="1038" t="e">
        <f>IF(#REF!="","",#REF!)</f>
        <v>#REF!</v>
      </c>
      <c r="AP145" s="971" t="e">
        <f>IF(#REF!="","",#REF!)</f>
        <v>#REF!</v>
      </c>
      <c r="AQ145" s="1039" t="e">
        <f>IF(#REF!="","",#REF!)</f>
        <v>#REF!</v>
      </c>
      <c r="AR145" s="973" t="e">
        <f>IF(#REF!="","",#REF!)</f>
        <v>#REF!</v>
      </c>
      <c r="AS145" s="974" t="e">
        <f>IF(#REF!="","",#REF!)</f>
        <v>#REF!</v>
      </c>
      <c r="AT145" s="975" t="e">
        <f>IF(#REF!="","",#REF!)</f>
        <v>#REF!</v>
      </c>
      <c r="AU145" s="976" t="e">
        <f>IF(#REF!="","",#REF!)</f>
        <v>#REF!</v>
      </c>
      <c r="AV145" s="977" t="e">
        <f>IF(#REF!="","",#REF!)</f>
        <v>#REF!</v>
      </c>
      <c r="AW145" s="1040" t="e">
        <f>IF(#REF!="","",#REF!)</f>
        <v>#REF!</v>
      </c>
      <c r="AX145" s="987" t="e">
        <f>IF(#REF!="","",#REF!)</f>
        <v>#REF!</v>
      </c>
    </row>
    <row r="146" spans="38:50">
      <c r="AL146" s="1035" t="e">
        <f>IF(#REF!="","",#REF!)</f>
        <v>#REF!</v>
      </c>
      <c r="AM146" s="1036" t="e">
        <f>IF(#REF!="","",#REF!)</f>
        <v>#REF!</v>
      </c>
      <c r="AN146" s="1037" t="e">
        <f>IF(AND(#REF!="",#REF!=1),"",#REF!)</f>
        <v>#REF!</v>
      </c>
      <c r="AO146" s="1038" t="e">
        <f>IF(#REF!="","",#REF!)</f>
        <v>#REF!</v>
      </c>
      <c r="AP146" s="971" t="e">
        <f>IF(#REF!="","",#REF!)</f>
        <v>#REF!</v>
      </c>
      <c r="AQ146" s="1039" t="e">
        <f>IF(#REF!="","",#REF!)</f>
        <v>#REF!</v>
      </c>
      <c r="AR146" s="973" t="e">
        <f>IF(#REF!="","",#REF!)</f>
        <v>#REF!</v>
      </c>
      <c r="AS146" s="974" t="e">
        <f>IF(#REF!="","",#REF!)</f>
        <v>#REF!</v>
      </c>
      <c r="AT146" s="975" t="e">
        <f>IF(#REF!="","",#REF!)</f>
        <v>#REF!</v>
      </c>
      <c r="AU146" s="976" t="e">
        <f>IF(#REF!="","",#REF!)</f>
        <v>#REF!</v>
      </c>
      <c r="AV146" s="977" t="e">
        <f>IF(#REF!="","",#REF!)</f>
        <v>#REF!</v>
      </c>
      <c r="AW146" s="1040" t="e">
        <f>IF(#REF!="","",#REF!)</f>
        <v>#REF!</v>
      </c>
      <c r="AX146" s="987" t="e">
        <f>IF(#REF!="","",#REF!)</f>
        <v>#REF!</v>
      </c>
    </row>
    <row r="147" spans="38:50">
      <c r="AL147" s="1035" t="e">
        <f>IF(#REF!="","",#REF!)</f>
        <v>#REF!</v>
      </c>
      <c r="AM147" s="1036" t="e">
        <f>IF(#REF!="","",#REF!)</f>
        <v>#REF!</v>
      </c>
      <c r="AN147" s="1037" t="e">
        <f>IF(AND(#REF!="",#REF!=1),"",#REF!)</f>
        <v>#REF!</v>
      </c>
      <c r="AO147" s="1038" t="e">
        <f>IF(#REF!="","",#REF!)</f>
        <v>#REF!</v>
      </c>
      <c r="AP147" s="971" t="e">
        <f>IF(#REF!="","",#REF!)</f>
        <v>#REF!</v>
      </c>
      <c r="AQ147" s="1039" t="e">
        <f>IF(#REF!="","",#REF!)</f>
        <v>#REF!</v>
      </c>
      <c r="AR147" s="973" t="e">
        <f>IF(#REF!="","",#REF!)</f>
        <v>#REF!</v>
      </c>
      <c r="AS147" s="974" t="e">
        <f>IF(#REF!="","",#REF!)</f>
        <v>#REF!</v>
      </c>
      <c r="AT147" s="975" t="e">
        <f>IF(#REF!="","",#REF!)</f>
        <v>#REF!</v>
      </c>
      <c r="AU147" s="976" t="e">
        <f>IF(#REF!="","",#REF!)</f>
        <v>#REF!</v>
      </c>
      <c r="AV147" s="977" t="e">
        <f>IF(#REF!="","",#REF!)</f>
        <v>#REF!</v>
      </c>
      <c r="AW147" s="1040" t="e">
        <f>IF(#REF!="","",#REF!)</f>
        <v>#REF!</v>
      </c>
      <c r="AX147" s="987" t="e">
        <f>IF(#REF!="","",#REF!)</f>
        <v>#REF!</v>
      </c>
    </row>
    <row r="148" spans="38:50">
      <c r="AL148" s="1035" t="e">
        <f>IF(#REF!="","",#REF!)</f>
        <v>#REF!</v>
      </c>
      <c r="AM148" s="1036" t="e">
        <f>IF(#REF!="","",#REF!)</f>
        <v>#REF!</v>
      </c>
      <c r="AN148" s="1037" t="e">
        <f>IF(AND(#REF!="",#REF!=1),"",#REF!)</f>
        <v>#REF!</v>
      </c>
      <c r="AO148" s="1038" t="e">
        <f>IF(#REF!="","",#REF!)</f>
        <v>#REF!</v>
      </c>
      <c r="AP148" s="971" t="e">
        <f>IF(#REF!="","",#REF!)</f>
        <v>#REF!</v>
      </c>
      <c r="AQ148" s="1039" t="e">
        <f>IF(#REF!="","",#REF!)</f>
        <v>#REF!</v>
      </c>
      <c r="AR148" s="973" t="e">
        <f>IF(#REF!="","",#REF!)</f>
        <v>#REF!</v>
      </c>
      <c r="AS148" s="974" t="e">
        <f>IF(#REF!="","",#REF!)</f>
        <v>#REF!</v>
      </c>
      <c r="AT148" s="975" t="e">
        <f>IF(#REF!="","",#REF!)</f>
        <v>#REF!</v>
      </c>
      <c r="AU148" s="976" t="e">
        <f>IF(#REF!="","",#REF!)</f>
        <v>#REF!</v>
      </c>
      <c r="AV148" s="977" t="e">
        <f>IF(#REF!="","",#REF!)</f>
        <v>#REF!</v>
      </c>
      <c r="AW148" s="1040" t="e">
        <f>IF(#REF!="","",#REF!)</f>
        <v>#REF!</v>
      </c>
      <c r="AX148" s="987" t="e">
        <f>IF(#REF!="","",#REF!)</f>
        <v>#REF!</v>
      </c>
    </row>
    <row r="149" spans="38:50">
      <c r="AL149" s="1035" t="e">
        <f>IF(#REF!="","",#REF!)</f>
        <v>#REF!</v>
      </c>
      <c r="AM149" s="1036" t="e">
        <f>IF(#REF!="","",#REF!)</f>
        <v>#REF!</v>
      </c>
      <c r="AN149" s="1037" t="e">
        <f>IF(AND(#REF!="",#REF!=1),"",#REF!)</f>
        <v>#REF!</v>
      </c>
      <c r="AO149" s="1038" t="e">
        <f>IF(#REF!="","",#REF!)</f>
        <v>#REF!</v>
      </c>
      <c r="AP149" s="971" t="e">
        <f>IF(#REF!="","",#REF!)</f>
        <v>#REF!</v>
      </c>
      <c r="AQ149" s="1039" t="e">
        <f>IF(#REF!="","",#REF!)</f>
        <v>#REF!</v>
      </c>
      <c r="AR149" s="973" t="e">
        <f>IF(#REF!="","",#REF!)</f>
        <v>#REF!</v>
      </c>
      <c r="AS149" s="974" t="e">
        <f>IF(#REF!="","",#REF!)</f>
        <v>#REF!</v>
      </c>
      <c r="AT149" s="975" t="e">
        <f>IF(#REF!="","",#REF!)</f>
        <v>#REF!</v>
      </c>
      <c r="AU149" s="976" t="e">
        <f>IF(#REF!="","",#REF!)</f>
        <v>#REF!</v>
      </c>
      <c r="AV149" s="977" t="e">
        <f>IF(#REF!="","",#REF!)</f>
        <v>#REF!</v>
      </c>
      <c r="AW149" s="1040" t="e">
        <f>IF(#REF!="","",#REF!)</f>
        <v>#REF!</v>
      </c>
      <c r="AX149" s="987" t="e">
        <f>IF(#REF!="","",#REF!)</f>
        <v>#REF!</v>
      </c>
    </row>
    <row r="150" spans="38:50">
      <c r="AL150" s="1035" t="e">
        <f>IF(#REF!="","",#REF!)</f>
        <v>#REF!</v>
      </c>
      <c r="AM150" s="1036" t="e">
        <f>IF(#REF!="","",#REF!)</f>
        <v>#REF!</v>
      </c>
      <c r="AN150" s="1037" t="e">
        <f>IF(AND(#REF!="",#REF!=1),"",#REF!)</f>
        <v>#REF!</v>
      </c>
      <c r="AO150" s="1038" t="e">
        <f>IF(#REF!="","",#REF!)</f>
        <v>#REF!</v>
      </c>
      <c r="AP150" s="971" t="e">
        <f>IF(#REF!="","",#REF!)</f>
        <v>#REF!</v>
      </c>
      <c r="AQ150" s="1039" t="e">
        <f>IF(#REF!="","",#REF!)</f>
        <v>#REF!</v>
      </c>
      <c r="AR150" s="973" t="e">
        <f>IF(#REF!="","",#REF!)</f>
        <v>#REF!</v>
      </c>
      <c r="AS150" s="974" t="e">
        <f>IF(#REF!="","",#REF!)</f>
        <v>#REF!</v>
      </c>
      <c r="AT150" s="975" t="e">
        <f>IF(#REF!="","",#REF!)</f>
        <v>#REF!</v>
      </c>
      <c r="AU150" s="976" t="e">
        <f>IF(#REF!="","",#REF!)</f>
        <v>#REF!</v>
      </c>
      <c r="AV150" s="977" t="e">
        <f>IF(#REF!="","",#REF!)</f>
        <v>#REF!</v>
      </c>
      <c r="AW150" s="1040" t="e">
        <f>IF(#REF!="","",#REF!)</f>
        <v>#REF!</v>
      </c>
      <c r="AX150" s="987" t="e">
        <f>IF(#REF!="","",#REF!)</f>
        <v>#REF!</v>
      </c>
    </row>
    <row r="151" spans="38:50">
      <c r="AL151" s="1035" t="e">
        <f>IF(#REF!="","",#REF!)</f>
        <v>#REF!</v>
      </c>
      <c r="AM151" s="1036" t="e">
        <f>IF(#REF!="","",#REF!)</f>
        <v>#REF!</v>
      </c>
      <c r="AN151" s="1037" t="e">
        <f>IF(AND(#REF!="",#REF!=1),"",#REF!)</f>
        <v>#REF!</v>
      </c>
      <c r="AO151" s="1038" t="e">
        <f>IF(#REF!="","",#REF!)</f>
        <v>#REF!</v>
      </c>
      <c r="AP151" s="971" t="e">
        <f>IF(#REF!="","",#REF!)</f>
        <v>#REF!</v>
      </c>
      <c r="AQ151" s="1039" t="e">
        <f>IF(#REF!="","",#REF!)</f>
        <v>#REF!</v>
      </c>
      <c r="AR151" s="973" t="e">
        <f>IF(#REF!="","",#REF!)</f>
        <v>#REF!</v>
      </c>
      <c r="AS151" s="974" t="e">
        <f>IF(#REF!="","",#REF!)</f>
        <v>#REF!</v>
      </c>
      <c r="AT151" s="975" t="e">
        <f>IF(#REF!="","",#REF!)</f>
        <v>#REF!</v>
      </c>
      <c r="AU151" s="976" t="e">
        <f>IF(#REF!="","",#REF!)</f>
        <v>#REF!</v>
      </c>
      <c r="AV151" s="977" t="e">
        <f>IF(#REF!="","",#REF!)</f>
        <v>#REF!</v>
      </c>
      <c r="AW151" s="1040" t="e">
        <f>IF(#REF!="","",#REF!)</f>
        <v>#REF!</v>
      </c>
      <c r="AX151" s="987" t="e">
        <f>IF(#REF!="","",#REF!)</f>
        <v>#REF!</v>
      </c>
    </row>
    <row r="152" spans="38:50">
      <c r="AL152" s="1035" t="e">
        <f>IF(#REF!="","",#REF!)</f>
        <v>#REF!</v>
      </c>
      <c r="AM152" s="1036" t="e">
        <f>IF(#REF!="","",#REF!)</f>
        <v>#REF!</v>
      </c>
      <c r="AN152" s="1037" t="e">
        <f>IF(AND(#REF!="",#REF!=1),"",#REF!)</f>
        <v>#REF!</v>
      </c>
      <c r="AO152" s="1038" t="e">
        <f>IF(#REF!="","",#REF!)</f>
        <v>#REF!</v>
      </c>
      <c r="AP152" s="971" t="e">
        <f>IF(#REF!="","",#REF!)</f>
        <v>#REF!</v>
      </c>
      <c r="AQ152" s="1039" t="e">
        <f>IF(#REF!="","",#REF!)</f>
        <v>#REF!</v>
      </c>
      <c r="AR152" s="973" t="e">
        <f>IF(#REF!="","",#REF!)</f>
        <v>#REF!</v>
      </c>
      <c r="AS152" s="974" t="e">
        <f>IF(#REF!="","",#REF!)</f>
        <v>#REF!</v>
      </c>
      <c r="AT152" s="975" t="e">
        <f>IF(#REF!="","",#REF!)</f>
        <v>#REF!</v>
      </c>
      <c r="AU152" s="976" t="e">
        <f>IF(#REF!="","",#REF!)</f>
        <v>#REF!</v>
      </c>
      <c r="AV152" s="977" t="e">
        <f>IF(#REF!="","",#REF!)</f>
        <v>#REF!</v>
      </c>
      <c r="AW152" s="1040" t="e">
        <f>IF(#REF!="","",#REF!)</f>
        <v>#REF!</v>
      </c>
      <c r="AX152" s="987" t="e">
        <f>IF(#REF!="","",#REF!)</f>
        <v>#REF!</v>
      </c>
    </row>
    <row r="153" spans="38:50">
      <c r="AL153" s="1035" t="e">
        <f>IF(#REF!="","",#REF!)</f>
        <v>#REF!</v>
      </c>
      <c r="AM153" s="1036" t="e">
        <f>IF(#REF!="","",#REF!)</f>
        <v>#REF!</v>
      </c>
      <c r="AN153" s="1037" t="e">
        <f>IF(AND(#REF!="",#REF!=1),"",#REF!)</f>
        <v>#REF!</v>
      </c>
      <c r="AO153" s="1038" t="e">
        <f>IF(#REF!="","",#REF!)</f>
        <v>#REF!</v>
      </c>
      <c r="AP153" s="971" t="e">
        <f>IF(#REF!="","",#REF!)</f>
        <v>#REF!</v>
      </c>
      <c r="AQ153" s="1039" t="e">
        <f>IF(#REF!="","",#REF!)</f>
        <v>#REF!</v>
      </c>
      <c r="AR153" s="973" t="e">
        <f>IF(#REF!="","",#REF!)</f>
        <v>#REF!</v>
      </c>
      <c r="AS153" s="974" t="e">
        <f>IF(#REF!="","",#REF!)</f>
        <v>#REF!</v>
      </c>
      <c r="AT153" s="975" t="e">
        <f>IF(#REF!="","",#REF!)</f>
        <v>#REF!</v>
      </c>
      <c r="AU153" s="976" t="e">
        <f>IF(#REF!="","",#REF!)</f>
        <v>#REF!</v>
      </c>
      <c r="AV153" s="977" t="e">
        <f>IF(#REF!="","",#REF!)</f>
        <v>#REF!</v>
      </c>
      <c r="AW153" s="1040" t="e">
        <f>IF(#REF!="","",#REF!)</f>
        <v>#REF!</v>
      </c>
      <c r="AX153" s="987" t="e">
        <f>IF(#REF!="","",#REF!)</f>
        <v>#REF!</v>
      </c>
    </row>
    <row r="154" spans="38:50">
      <c r="AL154" s="1035" t="e">
        <f>IF(#REF!="","",#REF!)</f>
        <v>#REF!</v>
      </c>
      <c r="AM154" s="1036" t="e">
        <f>IF(#REF!="","",#REF!)</f>
        <v>#REF!</v>
      </c>
      <c r="AN154" s="1037" t="e">
        <f>IF(AND(#REF!="",#REF!=1),"",#REF!)</f>
        <v>#REF!</v>
      </c>
      <c r="AO154" s="1038" t="e">
        <f>IF(#REF!="","",#REF!)</f>
        <v>#REF!</v>
      </c>
      <c r="AP154" s="971" t="e">
        <f>IF(#REF!="","",#REF!)</f>
        <v>#REF!</v>
      </c>
      <c r="AQ154" s="1039" t="e">
        <f>IF(#REF!="","",#REF!)</f>
        <v>#REF!</v>
      </c>
      <c r="AR154" s="973" t="e">
        <f>IF(#REF!="","",#REF!)</f>
        <v>#REF!</v>
      </c>
      <c r="AS154" s="974" t="e">
        <f>IF(#REF!="","",#REF!)</f>
        <v>#REF!</v>
      </c>
      <c r="AT154" s="975" t="e">
        <f>IF(#REF!="","",#REF!)</f>
        <v>#REF!</v>
      </c>
      <c r="AU154" s="976" t="e">
        <f>IF(#REF!="","",#REF!)</f>
        <v>#REF!</v>
      </c>
      <c r="AV154" s="977" t="e">
        <f>IF(#REF!="","",#REF!)</f>
        <v>#REF!</v>
      </c>
      <c r="AW154" s="1040" t="e">
        <f>IF(#REF!="","",#REF!)</f>
        <v>#REF!</v>
      </c>
      <c r="AX154" s="987" t="e">
        <f>IF(#REF!="","",#REF!)</f>
        <v>#REF!</v>
      </c>
    </row>
    <row r="155" spans="38:50">
      <c r="AL155" s="1035" t="e">
        <f>IF(#REF!="","",#REF!)</f>
        <v>#REF!</v>
      </c>
      <c r="AM155" s="1036" t="e">
        <f>IF(#REF!="","",#REF!)</f>
        <v>#REF!</v>
      </c>
      <c r="AN155" s="1037" t="e">
        <f>IF(AND(#REF!="",#REF!=1),"",#REF!)</f>
        <v>#REF!</v>
      </c>
      <c r="AO155" s="1038" t="e">
        <f>IF(#REF!="","",#REF!)</f>
        <v>#REF!</v>
      </c>
      <c r="AP155" s="971" t="e">
        <f>IF(#REF!="","",#REF!)</f>
        <v>#REF!</v>
      </c>
      <c r="AQ155" s="1039" t="e">
        <f>IF(#REF!="","",#REF!)</f>
        <v>#REF!</v>
      </c>
      <c r="AR155" s="973" t="e">
        <f>IF(#REF!="","",#REF!)</f>
        <v>#REF!</v>
      </c>
      <c r="AS155" s="974" t="e">
        <f>IF(#REF!="","",#REF!)</f>
        <v>#REF!</v>
      </c>
      <c r="AT155" s="975" t="e">
        <f>IF(#REF!="","",#REF!)</f>
        <v>#REF!</v>
      </c>
      <c r="AU155" s="976" t="e">
        <f>IF(#REF!="","",#REF!)</f>
        <v>#REF!</v>
      </c>
      <c r="AV155" s="977" t="e">
        <f>IF(#REF!="","",#REF!)</f>
        <v>#REF!</v>
      </c>
      <c r="AW155" s="1040" t="e">
        <f>IF(#REF!="","",#REF!)</f>
        <v>#REF!</v>
      </c>
      <c r="AX155" s="987" t="e">
        <f>IF(#REF!="","",#REF!)</f>
        <v>#REF!</v>
      </c>
    </row>
    <row r="156" spans="38:50">
      <c r="AL156" s="1035" t="e">
        <f>IF(#REF!="","",#REF!)</f>
        <v>#REF!</v>
      </c>
      <c r="AM156" s="1036" t="e">
        <f>IF(#REF!="","",#REF!)</f>
        <v>#REF!</v>
      </c>
      <c r="AN156" s="1037" t="e">
        <f>IF(AND(#REF!="",#REF!=1),"",#REF!)</f>
        <v>#REF!</v>
      </c>
      <c r="AO156" s="1038" t="e">
        <f>IF(#REF!="","",#REF!)</f>
        <v>#REF!</v>
      </c>
      <c r="AP156" s="971" t="e">
        <f>IF(#REF!="","",#REF!)</f>
        <v>#REF!</v>
      </c>
      <c r="AQ156" s="1039" t="e">
        <f>IF(#REF!="","",#REF!)</f>
        <v>#REF!</v>
      </c>
      <c r="AR156" s="973" t="e">
        <f>IF(#REF!="","",#REF!)</f>
        <v>#REF!</v>
      </c>
      <c r="AS156" s="974" t="e">
        <f>IF(#REF!="","",#REF!)</f>
        <v>#REF!</v>
      </c>
      <c r="AT156" s="975" t="e">
        <f>IF(#REF!="","",#REF!)</f>
        <v>#REF!</v>
      </c>
      <c r="AU156" s="976" t="e">
        <f>IF(#REF!="","",#REF!)</f>
        <v>#REF!</v>
      </c>
      <c r="AV156" s="977" t="e">
        <f>IF(#REF!="","",#REF!)</f>
        <v>#REF!</v>
      </c>
      <c r="AW156" s="1040" t="e">
        <f>IF(#REF!="","",#REF!)</f>
        <v>#REF!</v>
      </c>
      <c r="AX156" s="987" t="e">
        <f>IF(#REF!="","",#REF!)</f>
        <v>#REF!</v>
      </c>
    </row>
    <row r="157" spans="38:50">
      <c r="AL157" s="1035" t="e">
        <f>IF(#REF!="","",#REF!)</f>
        <v>#REF!</v>
      </c>
      <c r="AM157" s="1036" t="e">
        <f>IF(#REF!="","",#REF!)</f>
        <v>#REF!</v>
      </c>
      <c r="AN157" s="1037" t="e">
        <f>IF(AND(#REF!="",#REF!=1),"",#REF!)</f>
        <v>#REF!</v>
      </c>
      <c r="AO157" s="1038" t="e">
        <f>IF(#REF!="","",#REF!)</f>
        <v>#REF!</v>
      </c>
      <c r="AP157" s="971" t="e">
        <f>IF(#REF!="","",#REF!)</f>
        <v>#REF!</v>
      </c>
      <c r="AQ157" s="1039" t="e">
        <f>IF(#REF!="","",#REF!)</f>
        <v>#REF!</v>
      </c>
      <c r="AR157" s="973" t="e">
        <f>IF(#REF!="","",#REF!)</f>
        <v>#REF!</v>
      </c>
      <c r="AS157" s="974" t="e">
        <f>IF(#REF!="","",#REF!)</f>
        <v>#REF!</v>
      </c>
      <c r="AT157" s="975" t="e">
        <f>IF(#REF!="","",#REF!)</f>
        <v>#REF!</v>
      </c>
      <c r="AU157" s="976" t="e">
        <f>IF(#REF!="","",#REF!)</f>
        <v>#REF!</v>
      </c>
      <c r="AV157" s="977" t="e">
        <f>IF(#REF!="","",#REF!)</f>
        <v>#REF!</v>
      </c>
      <c r="AW157" s="1040" t="e">
        <f>IF(#REF!="","",#REF!)</f>
        <v>#REF!</v>
      </c>
      <c r="AX157" s="987" t="e">
        <f>IF(#REF!="","",#REF!)</f>
        <v>#REF!</v>
      </c>
    </row>
    <row r="158" spans="38:50">
      <c r="AL158" s="1035" t="e">
        <f>IF(#REF!="","",#REF!)</f>
        <v>#REF!</v>
      </c>
      <c r="AM158" s="1036" t="e">
        <f>IF(#REF!="","",#REF!)</f>
        <v>#REF!</v>
      </c>
      <c r="AN158" s="1037" t="e">
        <f>IF(AND(#REF!="",#REF!=1),"",#REF!)</f>
        <v>#REF!</v>
      </c>
      <c r="AO158" s="1038" t="e">
        <f>IF(#REF!="","",#REF!)</f>
        <v>#REF!</v>
      </c>
      <c r="AP158" s="971" t="e">
        <f>IF(#REF!="","",#REF!)</f>
        <v>#REF!</v>
      </c>
      <c r="AQ158" s="1039" t="e">
        <f>IF(#REF!="","",#REF!)</f>
        <v>#REF!</v>
      </c>
      <c r="AR158" s="973" t="e">
        <f>IF(#REF!="","",#REF!)</f>
        <v>#REF!</v>
      </c>
      <c r="AS158" s="974" t="e">
        <f>IF(#REF!="","",#REF!)</f>
        <v>#REF!</v>
      </c>
      <c r="AT158" s="975" t="e">
        <f>IF(#REF!="","",#REF!)</f>
        <v>#REF!</v>
      </c>
      <c r="AU158" s="976" t="e">
        <f>IF(#REF!="","",#REF!)</f>
        <v>#REF!</v>
      </c>
      <c r="AV158" s="977" t="e">
        <f>IF(#REF!="","",#REF!)</f>
        <v>#REF!</v>
      </c>
      <c r="AW158" s="1040" t="e">
        <f>IF(#REF!="","",#REF!)</f>
        <v>#REF!</v>
      </c>
      <c r="AX158" s="987" t="e">
        <f>IF(#REF!="","",#REF!)</f>
        <v>#REF!</v>
      </c>
    </row>
    <row r="159" spans="38:50">
      <c r="AL159" s="1035" t="e">
        <f>IF(#REF!="","",#REF!)</f>
        <v>#REF!</v>
      </c>
      <c r="AM159" s="1036" t="e">
        <f>IF(#REF!="","",#REF!)</f>
        <v>#REF!</v>
      </c>
      <c r="AN159" s="1037" t="e">
        <f>IF(AND(#REF!="",#REF!=1),"",#REF!)</f>
        <v>#REF!</v>
      </c>
      <c r="AO159" s="1038" t="e">
        <f>IF(#REF!="","",#REF!)</f>
        <v>#REF!</v>
      </c>
      <c r="AP159" s="971" t="e">
        <f>IF(#REF!="","",#REF!)</f>
        <v>#REF!</v>
      </c>
      <c r="AQ159" s="1039" t="e">
        <f>IF(#REF!="","",#REF!)</f>
        <v>#REF!</v>
      </c>
      <c r="AR159" s="973" t="e">
        <f>IF(#REF!="","",#REF!)</f>
        <v>#REF!</v>
      </c>
      <c r="AS159" s="974" t="e">
        <f>IF(#REF!="","",#REF!)</f>
        <v>#REF!</v>
      </c>
      <c r="AT159" s="975" t="e">
        <f>IF(#REF!="","",#REF!)</f>
        <v>#REF!</v>
      </c>
      <c r="AU159" s="976" t="e">
        <f>IF(#REF!="","",#REF!)</f>
        <v>#REF!</v>
      </c>
      <c r="AV159" s="977" t="e">
        <f>IF(#REF!="","",#REF!)</f>
        <v>#REF!</v>
      </c>
      <c r="AW159" s="1040" t="e">
        <f>IF(#REF!="","",#REF!)</f>
        <v>#REF!</v>
      </c>
      <c r="AX159" s="987" t="e">
        <f>IF(#REF!="","",#REF!)</f>
        <v>#REF!</v>
      </c>
    </row>
    <row r="160" spans="38:50">
      <c r="AL160" s="1035" t="e">
        <f>IF(#REF!="","",#REF!)</f>
        <v>#REF!</v>
      </c>
      <c r="AM160" s="1036" t="e">
        <f>IF(#REF!="","",#REF!)</f>
        <v>#REF!</v>
      </c>
      <c r="AN160" s="1037" t="e">
        <f>IF(AND(#REF!="",#REF!=1),"",#REF!)</f>
        <v>#REF!</v>
      </c>
      <c r="AO160" s="1038" t="e">
        <f>IF(#REF!="","",#REF!)</f>
        <v>#REF!</v>
      </c>
      <c r="AP160" s="971" t="e">
        <f>IF(#REF!="","",#REF!)</f>
        <v>#REF!</v>
      </c>
      <c r="AQ160" s="1039" t="e">
        <f>IF(#REF!="","",#REF!)</f>
        <v>#REF!</v>
      </c>
      <c r="AR160" s="973" t="e">
        <f>IF(#REF!="","",#REF!)</f>
        <v>#REF!</v>
      </c>
      <c r="AS160" s="974" t="e">
        <f>IF(#REF!="","",#REF!)</f>
        <v>#REF!</v>
      </c>
      <c r="AT160" s="975" t="e">
        <f>IF(#REF!="","",#REF!)</f>
        <v>#REF!</v>
      </c>
      <c r="AU160" s="976" t="e">
        <f>IF(#REF!="","",#REF!)</f>
        <v>#REF!</v>
      </c>
      <c r="AV160" s="977" t="e">
        <f>IF(#REF!="","",#REF!)</f>
        <v>#REF!</v>
      </c>
      <c r="AW160" s="1040" t="e">
        <f>IF(#REF!="","",#REF!)</f>
        <v>#REF!</v>
      </c>
      <c r="AX160" s="987" t="e">
        <f>IF(#REF!="","",#REF!)</f>
        <v>#REF!</v>
      </c>
    </row>
    <row r="161" spans="38:50">
      <c r="AL161" s="1035" t="e">
        <f>IF(#REF!="","",#REF!)</f>
        <v>#REF!</v>
      </c>
      <c r="AM161" s="1036" t="e">
        <f>IF(#REF!="","",#REF!)</f>
        <v>#REF!</v>
      </c>
      <c r="AN161" s="1037" t="e">
        <f>IF(AND(#REF!="",#REF!=1),"",#REF!)</f>
        <v>#REF!</v>
      </c>
      <c r="AO161" s="1038" t="e">
        <f>IF(#REF!="","",#REF!)</f>
        <v>#REF!</v>
      </c>
      <c r="AP161" s="971" t="e">
        <f>IF(#REF!="","",#REF!)</f>
        <v>#REF!</v>
      </c>
      <c r="AQ161" s="1039" t="e">
        <f>IF(#REF!="","",#REF!)</f>
        <v>#REF!</v>
      </c>
      <c r="AR161" s="973" t="e">
        <f>IF(#REF!="","",#REF!)</f>
        <v>#REF!</v>
      </c>
      <c r="AS161" s="974" t="e">
        <f>IF(#REF!="","",#REF!)</f>
        <v>#REF!</v>
      </c>
      <c r="AT161" s="975" t="e">
        <f>IF(#REF!="","",#REF!)</f>
        <v>#REF!</v>
      </c>
      <c r="AU161" s="976" t="e">
        <f>IF(#REF!="","",#REF!)</f>
        <v>#REF!</v>
      </c>
      <c r="AV161" s="977" t="e">
        <f>IF(#REF!="","",#REF!)</f>
        <v>#REF!</v>
      </c>
      <c r="AW161" s="1040" t="e">
        <f>IF(#REF!="","",#REF!)</f>
        <v>#REF!</v>
      </c>
      <c r="AX161" s="987" t="e">
        <f>IF(#REF!="","",#REF!)</f>
        <v>#REF!</v>
      </c>
    </row>
    <row r="162" spans="38:50">
      <c r="AL162" s="1035" t="e">
        <f>IF(#REF!="","",#REF!)</f>
        <v>#REF!</v>
      </c>
      <c r="AM162" s="1036" t="e">
        <f>IF(#REF!="","",#REF!)</f>
        <v>#REF!</v>
      </c>
      <c r="AN162" s="1037" t="e">
        <f>IF(AND(#REF!="",#REF!=1),"",#REF!)</f>
        <v>#REF!</v>
      </c>
      <c r="AO162" s="1038" t="e">
        <f>IF(#REF!="","",#REF!)</f>
        <v>#REF!</v>
      </c>
      <c r="AP162" s="971" t="e">
        <f>IF(#REF!="","",#REF!)</f>
        <v>#REF!</v>
      </c>
      <c r="AQ162" s="1039" t="e">
        <f>IF(#REF!="","",#REF!)</f>
        <v>#REF!</v>
      </c>
      <c r="AR162" s="973" t="e">
        <f>IF(#REF!="","",#REF!)</f>
        <v>#REF!</v>
      </c>
      <c r="AS162" s="974" t="e">
        <f>IF(#REF!="","",#REF!)</f>
        <v>#REF!</v>
      </c>
      <c r="AT162" s="975" t="e">
        <f>IF(#REF!="","",#REF!)</f>
        <v>#REF!</v>
      </c>
      <c r="AU162" s="976" t="e">
        <f>IF(#REF!="","",#REF!)</f>
        <v>#REF!</v>
      </c>
      <c r="AV162" s="977" t="e">
        <f>IF(#REF!="","",#REF!)</f>
        <v>#REF!</v>
      </c>
      <c r="AW162" s="1040" t="e">
        <f>IF(#REF!="","",#REF!)</f>
        <v>#REF!</v>
      </c>
      <c r="AX162" s="987" t="e">
        <f>IF(#REF!="","",#REF!)</f>
        <v>#REF!</v>
      </c>
    </row>
    <row r="163" spans="38:50">
      <c r="AL163" s="1035" t="e">
        <f>IF(#REF!="","",#REF!)</f>
        <v>#REF!</v>
      </c>
      <c r="AM163" s="1036" t="e">
        <f>IF(#REF!="","",#REF!)</f>
        <v>#REF!</v>
      </c>
      <c r="AN163" s="1037" t="e">
        <f>IF(AND(#REF!="",#REF!=1),"",#REF!)</f>
        <v>#REF!</v>
      </c>
      <c r="AO163" s="1038" t="e">
        <f>IF(#REF!="","",#REF!)</f>
        <v>#REF!</v>
      </c>
      <c r="AP163" s="971" t="e">
        <f>IF(#REF!="","",#REF!)</f>
        <v>#REF!</v>
      </c>
      <c r="AQ163" s="1039" t="e">
        <f>IF(#REF!="","",#REF!)</f>
        <v>#REF!</v>
      </c>
      <c r="AR163" s="973" t="e">
        <f>IF(#REF!="","",#REF!)</f>
        <v>#REF!</v>
      </c>
      <c r="AS163" s="974" t="e">
        <f>IF(#REF!="","",#REF!)</f>
        <v>#REF!</v>
      </c>
      <c r="AT163" s="975" t="e">
        <f>IF(#REF!="","",#REF!)</f>
        <v>#REF!</v>
      </c>
      <c r="AU163" s="976" t="e">
        <f>IF(#REF!="","",#REF!)</f>
        <v>#REF!</v>
      </c>
      <c r="AV163" s="977" t="e">
        <f>IF(#REF!="","",#REF!)</f>
        <v>#REF!</v>
      </c>
      <c r="AW163" s="1040" t="e">
        <f>IF(#REF!="","",#REF!)</f>
        <v>#REF!</v>
      </c>
      <c r="AX163" s="987" t="e">
        <f>IF(#REF!="","",#REF!)</f>
        <v>#REF!</v>
      </c>
    </row>
    <row r="164" spans="38:50">
      <c r="AL164" s="1035" t="e">
        <f>IF(#REF!="","",#REF!)</f>
        <v>#REF!</v>
      </c>
      <c r="AM164" s="1036" t="e">
        <f>IF(#REF!="","",#REF!)</f>
        <v>#REF!</v>
      </c>
      <c r="AN164" s="1037" t="e">
        <f>IF(AND(#REF!="",#REF!=1),"",#REF!)</f>
        <v>#REF!</v>
      </c>
      <c r="AO164" s="1038" t="e">
        <f>IF(#REF!="","",#REF!)</f>
        <v>#REF!</v>
      </c>
      <c r="AP164" s="971" t="e">
        <f>IF(#REF!="","",#REF!)</f>
        <v>#REF!</v>
      </c>
      <c r="AQ164" s="1039" t="e">
        <f>IF(#REF!="","",#REF!)</f>
        <v>#REF!</v>
      </c>
      <c r="AR164" s="973" t="e">
        <f>IF(#REF!="","",#REF!)</f>
        <v>#REF!</v>
      </c>
      <c r="AS164" s="974" t="e">
        <f>IF(#REF!="","",#REF!)</f>
        <v>#REF!</v>
      </c>
      <c r="AT164" s="975" t="e">
        <f>IF(#REF!="","",#REF!)</f>
        <v>#REF!</v>
      </c>
      <c r="AU164" s="976" t="e">
        <f>IF(#REF!="","",#REF!)</f>
        <v>#REF!</v>
      </c>
      <c r="AV164" s="977" t="e">
        <f>IF(#REF!="","",#REF!)</f>
        <v>#REF!</v>
      </c>
      <c r="AW164" s="1040" t="e">
        <f>IF(#REF!="","",#REF!)</f>
        <v>#REF!</v>
      </c>
      <c r="AX164" s="987" t="e">
        <f>IF(#REF!="","",#REF!)</f>
        <v>#REF!</v>
      </c>
    </row>
    <row r="165" spans="38:50">
      <c r="AL165" s="1035" t="e">
        <f>IF(#REF!="","",#REF!)</f>
        <v>#REF!</v>
      </c>
      <c r="AM165" s="1036" t="e">
        <f>IF(#REF!="","",#REF!)</f>
        <v>#REF!</v>
      </c>
      <c r="AN165" s="1037" t="e">
        <f>IF(AND(#REF!="",#REF!=1),"",#REF!)</f>
        <v>#REF!</v>
      </c>
      <c r="AO165" s="1038" t="e">
        <f>IF(#REF!="","",#REF!)</f>
        <v>#REF!</v>
      </c>
      <c r="AP165" s="971" t="e">
        <f>IF(#REF!="","",#REF!)</f>
        <v>#REF!</v>
      </c>
      <c r="AQ165" s="1039" t="e">
        <f>IF(#REF!="","",#REF!)</f>
        <v>#REF!</v>
      </c>
      <c r="AR165" s="973" t="e">
        <f>IF(#REF!="","",#REF!)</f>
        <v>#REF!</v>
      </c>
      <c r="AS165" s="974" t="e">
        <f>IF(#REF!="","",#REF!)</f>
        <v>#REF!</v>
      </c>
      <c r="AT165" s="975" t="e">
        <f>IF(#REF!="","",#REF!)</f>
        <v>#REF!</v>
      </c>
      <c r="AU165" s="976" t="e">
        <f>IF(#REF!="","",#REF!)</f>
        <v>#REF!</v>
      </c>
      <c r="AV165" s="977" t="e">
        <f>IF(#REF!="","",#REF!)</f>
        <v>#REF!</v>
      </c>
      <c r="AW165" s="1040" t="e">
        <f>IF(#REF!="","",#REF!)</f>
        <v>#REF!</v>
      </c>
      <c r="AX165" s="987" t="e">
        <f>IF(#REF!="","",#REF!)</f>
        <v>#REF!</v>
      </c>
    </row>
    <row r="166" spans="38:50">
      <c r="AL166" s="1035" t="e">
        <f>IF(#REF!="","",#REF!)</f>
        <v>#REF!</v>
      </c>
      <c r="AM166" s="1036" t="e">
        <f>IF(#REF!="","",#REF!)</f>
        <v>#REF!</v>
      </c>
      <c r="AN166" s="1037" t="e">
        <f>IF(AND(#REF!="",#REF!=1),"",#REF!)</f>
        <v>#REF!</v>
      </c>
      <c r="AO166" s="1038" t="e">
        <f>IF(#REF!="","",#REF!)</f>
        <v>#REF!</v>
      </c>
      <c r="AP166" s="971" t="e">
        <f>IF(#REF!="","",#REF!)</f>
        <v>#REF!</v>
      </c>
      <c r="AQ166" s="1039" t="e">
        <f>IF(#REF!="","",#REF!)</f>
        <v>#REF!</v>
      </c>
      <c r="AR166" s="973" t="e">
        <f>IF(#REF!="","",#REF!)</f>
        <v>#REF!</v>
      </c>
      <c r="AS166" s="974" t="e">
        <f>IF(#REF!="","",#REF!)</f>
        <v>#REF!</v>
      </c>
      <c r="AT166" s="975" t="e">
        <f>IF(#REF!="","",#REF!)</f>
        <v>#REF!</v>
      </c>
      <c r="AU166" s="976" t="e">
        <f>IF(#REF!="","",#REF!)</f>
        <v>#REF!</v>
      </c>
      <c r="AV166" s="977" t="e">
        <f>IF(#REF!="","",#REF!)</f>
        <v>#REF!</v>
      </c>
      <c r="AW166" s="1040" t="e">
        <f>IF(#REF!="","",#REF!)</f>
        <v>#REF!</v>
      </c>
      <c r="AX166" s="987" t="e">
        <f>IF(#REF!="","",#REF!)</f>
        <v>#REF!</v>
      </c>
    </row>
    <row r="167" spans="38:50">
      <c r="AL167" s="1035" t="e">
        <f>IF(#REF!="","",#REF!)</f>
        <v>#REF!</v>
      </c>
      <c r="AM167" s="1036" t="e">
        <f>IF(#REF!="","",#REF!)</f>
        <v>#REF!</v>
      </c>
      <c r="AN167" s="1037" t="e">
        <f>IF(AND(#REF!="",#REF!=1),"",#REF!)</f>
        <v>#REF!</v>
      </c>
      <c r="AO167" s="1038" t="e">
        <f>IF(#REF!="","",#REF!)</f>
        <v>#REF!</v>
      </c>
      <c r="AP167" s="971" t="e">
        <f>IF(#REF!="","",#REF!)</f>
        <v>#REF!</v>
      </c>
      <c r="AQ167" s="1039" t="e">
        <f>IF(#REF!="","",#REF!)</f>
        <v>#REF!</v>
      </c>
      <c r="AR167" s="973" t="e">
        <f>IF(#REF!="","",#REF!)</f>
        <v>#REF!</v>
      </c>
      <c r="AS167" s="974" t="e">
        <f>IF(#REF!="","",#REF!)</f>
        <v>#REF!</v>
      </c>
      <c r="AT167" s="975" t="e">
        <f>IF(#REF!="","",#REF!)</f>
        <v>#REF!</v>
      </c>
      <c r="AU167" s="976" t="e">
        <f>IF(#REF!="","",#REF!)</f>
        <v>#REF!</v>
      </c>
      <c r="AV167" s="977" t="e">
        <f>IF(#REF!="","",#REF!)</f>
        <v>#REF!</v>
      </c>
      <c r="AW167" s="1040" t="e">
        <f>IF(#REF!="","",#REF!)</f>
        <v>#REF!</v>
      </c>
      <c r="AX167" s="987" t="e">
        <f>IF(#REF!="","",#REF!)</f>
        <v>#REF!</v>
      </c>
    </row>
    <row r="168" spans="38:50">
      <c r="AL168" s="1035" t="e">
        <f>IF(#REF!="","",#REF!)</f>
        <v>#REF!</v>
      </c>
      <c r="AM168" s="1036" t="e">
        <f>IF(#REF!="","",#REF!)</f>
        <v>#REF!</v>
      </c>
      <c r="AN168" s="1037" t="e">
        <f>IF(AND(#REF!="",#REF!=1),"",#REF!)</f>
        <v>#REF!</v>
      </c>
      <c r="AO168" s="1038" t="e">
        <f>IF(#REF!="","",#REF!)</f>
        <v>#REF!</v>
      </c>
      <c r="AP168" s="971" t="e">
        <f>IF(#REF!="","",#REF!)</f>
        <v>#REF!</v>
      </c>
      <c r="AQ168" s="1039" t="e">
        <f>IF(#REF!="","",#REF!)</f>
        <v>#REF!</v>
      </c>
      <c r="AR168" s="973" t="e">
        <f>IF(#REF!="","",#REF!)</f>
        <v>#REF!</v>
      </c>
      <c r="AS168" s="974" t="e">
        <f>IF(#REF!="","",#REF!)</f>
        <v>#REF!</v>
      </c>
      <c r="AT168" s="975" t="e">
        <f>IF(#REF!="","",#REF!)</f>
        <v>#REF!</v>
      </c>
      <c r="AU168" s="976" t="e">
        <f>IF(#REF!="","",#REF!)</f>
        <v>#REF!</v>
      </c>
      <c r="AV168" s="977" t="e">
        <f>IF(#REF!="","",#REF!)</f>
        <v>#REF!</v>
      </c>
      <c r="AW168" s="1040" t="e">
        <f>IF(#REF!="","",#REF!)</f>
        <v>#REF!</v>
      </c>
      <c r="AX168" s="987" t="e">
        <f>IF(#REF!="","",#REF!)</f>
        <v>#REF!</v>
      </c>
    </row>
    <row r="169" spans="38:50">
      <c r="AL169" s="1035" t="e">
        <f>IF(#REF!="","",#REF!)</f>
        <v>#REF!</v>
      </c>
      <c r="AM169" s="1036" t="e">
        <f>IF(#REF!="","",#REF!)</f>
        <v>#REF!</v>
      </c>
      <c r="AN169" s="1037" t="e">
        <f>IF(AND(#REF!="",#REF!=1),"",#REF!)</f>
        <v>#REF!</v>
      </c>
      <c r="AO169" s="1038" t="e">
        <f>IF(#REF!="","",#REF!)</f>
        <v>#REF!</v>
      </c>
      <c r="AP169" s="971" t="e">
        <f>IF(#REF!="","",#REF!)</f>
        <v>#REF!</v>
      </c>
      <c r="AQ169" s="1039" t="e">
        <f>IF(#REF!="","",#REF!)</f>
        <v>#REF!</v>
      </c>
      <c r="AR169" s="973" t="e">
        <f>IF(#REF!="","",#REF!)</f>
        <v>#REF!</v>
      </c>
      <c r="AS169" s="974" t="e">
        <f>IF(#REF!="","",#REF!)</f>
        <v>#REF!</v>
      </c>
      <c r="AT169" s="975" t="e">
        <f>IF(#REF!="","",#REF!)</f>
        <v>#REF!</v>
      </c>
      <c r="AU169" s="976" t="e">
        <f>IF(#REF!="","",#REF!)</f>
        <v>#REF!</v>
      </c>
      <c r="AV169" s="977" t="e">
        <f>IF(#REF!="","",#REF!)</f>
        <v>#REF!</v>
      </c>
      <c r="AW169" s="1040" t="e">
        <f>IF(#REF!="","",#REF!)</f>
        <v>#REF!</v>
      </c>
      <c r="AX169" s="987" t="e">
        <f>IF(#REF!="","",#REF!)</f>
        <v>#REF!</v>
      </c>
    </row>
    <row r="170" spans="38:50">
      <c r="AL170" s="1035" t="e">
        <f>IF(#REF!="","",#REF!)</f>
        <v>#REF!</v>
      </c>
      <c r="AM170" s="1036" t="e">
        <f>IF(#REF!="","",#REF!)</f>
        <v>#REF!</v>
      </c>
      <c r="AN170" s="1037" t="e">
        <f>IF(AND(#REF!="",#REF!=1),"",#REF!)</f>
        <v>#REF!</v>
      </c>
      <c r="AO170" s="1038" t="e">
        <f>IF(#REF!="","",#REF!)</f>
        <v>#REF!</v>
      </c>
      <c r="AP170" s="971" t="e">
        <f>IF(#REF!="","",#REF!)</f>
        <v>#REF!</v>
      </c>
      <c r="AQ170" s="1039" t="e">
        <f>IF(#REF!="","",#REF!)</f>
        <v>#REF!</v>
      </c>
      <c r="AR170" s="973" t="e">
        <f>IF(#REF!="","",#REF!)</f>
        <v>#REF!</v>
      </c>
      <c r="AS170" s="974" t="e">
        <f>IF(#REF!="","",#REF!)</f>
        <v>#REF!</v>
      </c>
      <c r="AT170" s="975" t="e">
        <f>IF(#REF!="","",#REF!)</f>
        <v>#REF!</v>
      </c>
      <c r="AU170" s="976" t="e">
        <f>IF(#REF!="","",#REF!)</f>
        <v>#REF!</v>
      </c>
      <c r="AV170" s="977" t="e">
        <f>IF(#REF!="","",#REF!)</f>
        <v>#REF!</v>
      </c>
      <c r="AW170" s="1040" t="e">
        <f>IF(#REF!="","",#REF!)</f>
        <v>#REF!</v>
      </c>
      <c r="AX170" s="987" t="e">
        <f>IF(#REF!="","",#REF!)</f>
        <v>#REF!</v>
      </c>
    </row>
    <row r="171" spans="38:50">
      <c r="AL171" s="1035" t="e">
        <f>IF(#REF!="","",#REF!)</f>
        <v>#REF!</v>
      </c>
      <c r="AM171" s="1036" t="e">
        <f>IF(#REF!="","",#REF!)</f>
        <v>#REF!</v>
      </c>
      <c r="AN171" s="1037" t="e">
        <f>IF(AND(#REF!="",#REF!=1),"",#REF!)</f>
        <v>#REF!</v>
      </c>
      <c r="AO171" s="1038" t="e">
        <f>IF(#REF!="","",#REF!)</f>
        <v>#REF!</v>
      </c>
      <c r="AP171" s="971" t="e">
        <f>IF(#REF!="","",#REF!)</f>
        <v>#REF!</v>
      </c>
      <c r="AQ171" s="1039" t="e">
        <f>IF(#REF!="","",#REF!)</f>
        <v>#REF!</v>
      </c>
      <c r="AR171" s="973" t="e">
        <f>IF(#REF!="","",#REF!)</f>
        <v>#REF!</v>
      </c>
      <c r="AS171" s="974" t="e">
        <f>IF(#REF!="","",#REF!)</f>
        <v>#REF!</v>
      </c>
      <c r="AT171" s="975" t="e">
        <f>IF(#REF!="","",#REF!)</f>
        <v>#REF!</v>
      </c>
      <c r="AU171" s="976" t="e">
        <f>IF(#REF!="","",#REF!)</f>
        <v>#REF!</v>
      </c>
      <c r="AV171" s="977" t="e">
        <f>IF(#REF!="","",#REF!)</f>
        <v>#REF!</v>
      </c>
      <c r="AW171" s="1040" t="e">
        <f>IF(#REF!="","",#REF!)</f>
        <v>#REF!</v>
      </c>
      <c r="AX171" s="987" t="e">
        <f>IF(#REF!="","",#REF!)</f>
        <v>#REF!</v>
      </c>
    </row>
    <row r="172" spans="38:50">
      <c r="AL172" s="1035" t="e">
        <f>IF(#REF!="","",#REF!)</f>
        <v>#REF!</v>
      </c>
      <c r="AM172" s="1036" t="e">
        <f>IF(#REF!="","",#REF!)</f>
        <v>#REF!</v>
      </c>
      <c r="AN172" s="1037" t="e">
        <f>IF(AND(#REF!="",#REF!=1),"",#REF!)</f>
        <v>#REF!</v>
      </c>
      <c r="AO172" s="1038" t="e">
        <f>IF(#REF!="","",#REF!)</f>
        <v>#REF!</v>
      </c>
      <c r="AP172" s="971" t="e">
        <f>IF(#REF!="","",#REF!)</f>
        <v>#REF!</v>
      </c>
      <c r="AQ172" s="1039" t="e">
        <f>IF(#REF!="","",#REF!)</f>
        <v>#REF!</v>
      </c>
      <c r="AR172" s="973" t="e">
        <f>IF(#REF!="","",#REF!)</f>
        <v>#REF!</v>
      </c>
      <c r="AS172" s="974" t="e">
        <f>IF(#REF!="","",#REF!)</f>
        <v>#REF!</v>
      </c>
      <c r="AT172" s="975" t="e">
        <f>IF(#REF!="","",#REF!)</f>
        <v>#REF!</v>
      </c>
      <c r="AU172" s="976" t="e">
        <f>IF(#REF!="","",#REF!)</f>
        <v>#REF!</v>
      </c>
      <c r="AV172" s="977" t="e">
        <f>IF(#REF!="","",#REF!)</f>
        <v>#REF!</v>
      </c>
      <c r="AW172" s="1040" t="e">
        <f>IF(#REF!="","",#REF!)</f>
        <v>#REF!</v>
      </c>
      <c r="AX172" s="987" t="e">
        <f>IF(#REF!="","",#REF!)</f>
        <v>#REF!</v>
      </c>
    </row>
    <row r="173" spans="38:50">
      <c r="AL173" s="1035" t="e">
        <f>IF(#REF!="","",#REF!)</f>
        <v>#REF!</v>
      </c>
      <c r="AM173" s="1036" t="e">
        <f>IF(#REF!="","",#REF!)</f>
        <v>#REF!</v>
      </c>
      <c r="AN173" s="1037" t="e">
        <f>IF(AND(#REF!="",#REF!=1),"",#REF!)</f>
        <v>#REF!</v>
      </c>
      <c r="AO173" s="1038" t="e">
        <f>IF(#REF!="","",#REF!)</f>
        <v>#REF!</v>
      </c>
      <c r="AP173" s="971" t="e">
        <f>IF(#REF!="","",#REF!)</f>
        <v>#REF!</v>
      </c>
      <c r="AQ173" s="1039" t="e">
        <f>IF(#REF!="","",#REF!)</f>
        <v>#REF!</v>
      </c>
      <c r="AR173" s="973" t="e">
        <f>IF(#REF!="","",#REF!)</f>
        <v>#REF!</v>
      </c>
      <c r="AS173" s="974" t="e">
        <f>IF(#REF!="","",#REF!)</f>
        <v>#REF!</v>
      </c>
      <c r="AT173" s="975" t="e">
        <f>IF(#REF!="","",#REF!)</f>
        <v>#REF!</v>
      </c>
      <c r="AU173" s="976" t="e">
        <f>IF(#REF!="","",#REF!)</f>
        <v>#REF!</v>
      </c>
      <c r="AV173" s="977" t="e">
        <f>IF(#REF!="","",#REF!)</f>
        <v>#REF!</v>
      </c>
      <c r="AW173" s="1040" t="e">
        <f>IF(#REF!="","",#REF!)</f>
        <v>#REF!</v>
      </c>
      <c r="AX173" s="987" t="e">
        <f>IF(#REF!="","",#REF!)</f>
        <v>#REF!</v>
      </c>
    </row>
    <row r="174" spans="38:50">
      <c r="AL174" s="1035" t="e">
        <f>IF(#REF!="","",#REF!)</f>
        <v>#REF!</v>
      </c>
      <c r="AM174" s="1036" t="e">
        <f>IF(#REF!="","",#REF!)</f>
        <v>#REF!</v>
      </c>
      <c r="AN174" s="1037" t="e">
        <f>IF(AND(#REF!="",#REF!=1),"",#REF!)</f>
        <v>#REF!</v>
      </c>
      <c r="AO174" s="1038" t="e">
        <f>IF(#REF!="","",#REF!)</f>
        <v>#REF!</v>
      </c>
      <c r="AP174" s="971" t="e">
        <f>IF(#REF!="","",#REF!)</f>
        <v>#REF!</v>
      </c>
      <c r="AQ174" s="1039" t="e">
        <f>IF(#REF!="","",#REF!)</f>
        <v>#REF!</v>
      </c>
      <c r="AR174" s="973" t="e">
        <f>IF(#REF!="","",#REF!)</f>
        <v>#REF!</v>
      </c>
      <c r="AS174" s="974" t="e">
        <f>IF(#REF!="","",#REF!)</f>
        <v>#REF!</v>
      </c>
      <c r="AT174" s="975" t="e">
        <f>IF(#REF!="","",#REF!)</f>
        <v>#REF!</v>
      </c>
      <c r="AU174" s="976" t="e">
        <f>IF(#REF!="","",#REF!)</f>
        <v>#REF!</v>
      </c>
      <c r="AV174" s="977" t="e">
        <f>IF(#REF!="","",#REF!)</f>
        <v>#REF!</v>
      </c>
      <c r="AW174" s="1040" t="e">
        <f>IF(#REF!="","",#REF!)</f>
        <v>#REF!</v>
      </c>
      <c r="AX174" s="987" t="e">
        <f>IF(#REF!="","",#REF!)</f>
        <v>#REF!</v>
      </c>
    </row>
    <row r="175" spans="38:50">
      <c r="AL175" s="1035" t="e">
        <f>IF(#REF!="","",#REF!)</f>
        <v>#REF!</v>
      </c>
      <c r="AM175" s="1036" t="e">
        <f>IF(#REF!="","",#REF!)</f>
        <v>#REF!</v>
      </c>
      <c r="AN175" s="1037" t="e">
        <f>IF(AND(#REF!="",#REF!=1),"",#REF!)</f>
        <v>#REF!</v>
      </c>
      <c r="AO175" s="1038" t="e">
        <f>IF(#REF!="","",#REF!)</f>
        <v>#REF!</v>
      </c>
      <c r="AP175" s="971" t="e">
        <f>IF(#REF!="","",#REF!)</f>
        <v>#REF!</v>
      </c>
      <c r="AQ175" s="1039" t="e">
        <f>IF(#REF!="","",#REF!)</f>
        <v>#REF!</v>
      </c>
      <c r="AR175" s="973" t="e">
        <f>IF(#REF!="","",#REF!)</f>
        <v>#REF!</v>
      </c>
      <c r="AS175" s="974" t="e">
        <f>IF(#REF!="","",#REF!)</f>
        <v>#REF!</v>
      </c>
      <c r="AT175" s="975" t="e">
        <f>IF(#REF!="","",#REF!)</f>
        <v>#REF!</v>
      </c>
      <c r="AU175" s="976" t="e">
        <f>IF(#REF!="","",#REF!)</f>
        <v>#REF!</v>
      </c>
      <c r="AV175" s="977" t="e">
        <f>IF(#REF!="","",#REF!)</f>
        <v>#REF!</v>
      </c>
      <c r="AW175" s="1040" t="e">
        <f>IF(#REF!="","",#REF!)</f>
        <v>#REF!</v>
      </c>
      <c r="AX175" s="987" t="e">
        <f>IF(#REF!="","",#REF!)</f>
        <v>#REF!</v>
      </c>
    </row>
    <row r="176" spans="38:50">
      <c r="AL176" s="1035" t="e">
        <f>IF(#REF!="","",#REF!)</f>
        <v>#REF!</v>
      </c>
      <c r="AM176" s="1036" t="e">
        <f>IF(#REF!="","",#REF!)</f>
        <v>#REF!</v>
      </c>
      <c r="AN176" s="1037" t="e">
        <f>IF(AND(#REF!="",#REF!=1),"",#REF!)</f>
        <v>#REF!</v>
      </c>
      <c r="AO176" s="1038" t="e">
        <f>IF(#REF!="","",#REF!)</f>
        <v>#REF!</v>
      </c>
      <c r="AP176" s="971" t="e">
        <f>IF(#REF!="","",#REF!)</f>
        <v>#REF!</v>
      </c>
      <c r="AQ176" s="1039" t="e">
        <f>IF(#REF!="","",#REF!)</f>
        <v>#REF!</v>
      </c>
      <c r="AR176" s="973" t="e">
        <f>IF(#REF!="","",#REF!)</f>
        <v>#REF!</v>
      </c>
      <c r="AS176" s="974" t="e">
        <f>IF(#REF!="","",#REF!)</f>
        <v>#REF!</v>
      </c>
      <c r="AT176" s="975" t="e">
        <f>IF(#REF!="","",#REF!)</f>
        <v>#REF!</v>
      </c>
      <c r="AU176" s="976" t="e">
        <f>IF(#REF!="","",#REF!)</f>
        <v>#REF!</v>
      </c>
      <c r="AV176" s="977" t="e">
        <f>IF(#REF!="","",#REF!)</f>
        <v>#REF!</v>
      </c>
      <c r="AW176" s="1040" t="e">
        <f>IF(#REF!="","",#REF!)</f>
        <v>#REF!</v>
      </c>
      <c r="AX176" s="987" t="e">
        <f>IF(#REF!="","",#REF!)</f>
        <v>#REF!</v>
      </c>
    </row>
    <row r="177" spans="38:50">
      <c r="AL177" s="1035" t="e">
        <f>IF(#REF!="","",#REF!)</f>
        <v>#REF!</v>
      </c>
      <c r="AM177" s="1036" t="e">
        <f>IF(#REF!="","",#REF!)</f>
        <v>#REF!</v>
      </c>
      <c r="AN177" s="1037" t="e">
        <f>IF(AND(#REF!="",#REF!=1),"",#REF!)</f>
        <v>#REF!</v>
      </c>
      <c r="AO177" s="1038" t="e">
        <f>IF(#REF!="","",#REF!)</f>
        <v>#REF!</v>
      </c>
      <c r="AP177" s="971" t="e">
        <f>IF(#REF!="","",#REF!)</f>
        <v>#REF!</v>
      </c>
      <c r="AQ177" s="1039" t="e">
        <f>IF(#REF!="","",#REF!)</f>
        <v>#REF!</v>
      </c>
      <c r="AR177" s="973" t="e">
        <f>IF(#REF!="","",#REF!)</f>
        <v>#REF!</v>
      </c>
      <c r="AS177" s="974" t="e">
        <f>IF(#REF!="","",#REF!)</f>
        <v>#REF!</v>
      </c>
      <c r="AT177" s="975" t="e">
        <f>IF(#REF!="","",#REF!)</f>
        <v>#REF!</v>
      </c>
      <c r="AU177" s="976" t="e">
        <f>IF(#REF!="","",#REF!)</f>
        <v>#REF!</v>
      </c>
      <c r="AV177" s="977" t="e">
        <f>IF(#REF!="","",#REF!)</f>
        <v>#REF!</v>
      </c>
      <c r="AW177" s="1040" t="e">
        <f>IF(#REF!="","",#REF!)</f>
        <v>#REF!</v>
      </c>
      <c r="AX177" s="987" t="e">
        <f>IF(#REF!="","",#REF!)</f>
        <v>#REF!</v>
      </c>
    </row>
    <row r="178" spans="38:50">
      <c r="AL178" s="1035" t="e">
        <f>IF(#REF!="","",#REF!)</f>
        <v>#REF!</v>
      </c>
      <c r="AM178" s="1036" t="e">
        <f>IF(#REF!="","",#REF!)</f>
        <v>#REF!</v>
      </c>
      <c r="AN178" s="1037" t="e">
        <f>IF(AND(#REF!="",#REF!=1),"",#REF!)</f>
        <v>#REF!</v>
      </c>
      <c r="AO178" s="1038" t="e">
        <f>IF(#REF!="","",#REF!)</f>
        <v>#REF!</v>
      </c>
      <c r="AP178" s="971" t="e">
        <f>IF(#REF!="","",#REF!)</f>
        <v>#REF!</v>
      </c>
      <c r="AQ178" s="1039" t="e">
        <f>IF(#REF!="","",#REF!)</f>
        <v>#REF!</v>
      </c>
      <c r="AR178" s="973" t="e">
        <f>IF(#REF!="","",#REF!)</f>
        <v>#REF!</v>
      </c>
      <c r="AS178" s="974" t="e">
        <f>IF(#REF!="","",#REF!)</f>
        <v>#REF!</v>
      </c>
      <c r="AT178" s="975" t="e">
        <f>IF(#REF!="","",#REF!)</f>
        <v>#REF!</v>
      </c>
      <c r="AU178" s="976" t="e">
        <f>IF(#REF!="","",#REF!)</f>
        <v>#REF!</v>
      </c>
      <c r="AV178" s="977" t="e">
        <f>IF(#REF!="","",#REF!)</f>
        <v>#REF!</v>
      </c>
      <c r="AW178" s="1040" t="e">
        <f>IF(#REF!="","",#REF!)</f>
        <v>#REF!</v>
      </c>
      <c r="AX178" s="987" t="e">
        <f>IF(#REF!="","",#REF!)</f>
        <v>#REF!</v>
      </c>
    </row>
    <row r="179" spans="38:50">
      <c r="AL179" s="1035" t="e">
        <f>IF(#REF!="","",#REF!)</f>
        <v>#REF!</v>
      </c>
      <c r="AM179" s="1036" t="e">
        <f>IF(#REF!="","",#REF!)</f>
        <v>#REF!</v>
      </c>
      <c r="AN179" s="1037" t="e">
        <f>IF(AND(#REF!="",#REF!=1),"",#REF!)</f>
        <v>#REF!</v>
      </c>
      <c r="AO179" s="1038" t="e">
        <f>IF(#REF!="","",#REF!)</f>
        <v>#REF!</v>
      </c>
      <c r="AP179" s="971" t="e">
        <f>IF(#REF!="","",#REF!)</f>
        <v>#REF!</v>
      </c>
      <c r="AQ179" s="1039" t="e">
        <f>IF(#REF!="","",#REF!)</f>
        <v>#REF!</v>
      </c>
      <c r="AR179" s="973" t="e">
        <f>IF(#REF!="","",#REF!)</f>
        <v>#REF!</v>
      </c>
      <c r="AS179" s="974" t="e">
        <f>IF(#REF!="","",#REF!)</f>
        <v>#REF!</v>
      </c>
      <c r="AT179" s="975" t="e">
        <f>IF(#REF!="","",#REF!)</f>
        <v>#REF!</v>
      </c>
      <c r="AU179" s="976" t="e">
        <f>IF(#REF!="","",#REF!)</f>
        <v>#REF!</v>
      </c>
      <c r="AV179" s="977" t="e">
        <f>IF(#REF!="","",#REF!)</f>
        <v>#REF!</v>
      </c>
      <c r="AW179" s="1040" t="e">
        <f>IF(#REF!="","",#REF!)</f>
        <v>#REF!</v>
      </c>
      <c r="AX179" s="987" t="e">
        <f>IF(#REF!="","",#REF!)</f>
        <v>#REF!</v>
      </c>
    </row>
    <row r="180" spans="38:50">
      <c r="AL180" s="1035" t="e">
        <f>IF(#REF!="","",#REF!)</f>
        <v>#REF!</v>
      </c>
      <c r="AM180" s="1036" t="e">
        <f>IF(#REF!="","",#REF!)</f>
        <v>#REF!</v>
      </c>
      <c r="AN180" s="1037" t="e">
        <f>IF(AND(#REF!="",#REF!=1),"",#REF!)</f>
        <v>#REF!</v>
      </c>
      <c r="AO180" s="1038" t="e">
        <f>IF(#REF!="","",#REF!)</f>
        <v>#REF!</v>
      </c>
      <c r="AP180" s="971" t="e">
        <f>IF(#REF!="","",#REF!)</f>
        <v>#REF!</v>
      </c>
      <c r="AQ180" s="1039" t="e">
        <f>IF(#REF!="","",#REF!)</f>
        <v>#REF!</v>
      </c>
      <c r="AR180" s="973" t="e">
        <f>IF(#REF!="","",#REF!)</f>
        <v>#REF!</v>
      </c>
      <c r="AS180" s="974" t="e">
        <f>IF(#REF!="","",#REF!)</f>
        <v>#REF!</v>
      </c>
      <c r="AT180" s="975" t="e">
        <f>IF(#REF!="","",#REF!)</f>
        <v>#REF!</v>
      </c>
      <c r="AU180" s="976" t="e">
        <f>IF(#REF!="","",#REF!)</f>
        <v>#REF!</v>
      </c>
      <c r="AV180" s="977" t="e">
        <f>IF(#REF!="","",#REF!)</f>
        <v>#REF!</v>
      </c>
      <c r="AW180" s="1040" t="e">
        <f>IF(#REF!="","",#REF!)</f>
        <v>#REF!</v>
      </c>
      <c r="AX180" s="987" t="e">
        <f>IF(#REF!="","",#REF!)</f>
        <v>#REF!</v>
      </c>
    </row>
    <row r="181" spans="38:50">
      <c r="AL181" s="1035" t="e">
        <f>IF(#REF!="","",#REF!)</f>
        <v>#REF!</v>
      </c>
      <c r="AM181" s="1036" t="e">
        <f>IF(#REF!="","",#REF!)</f>
        <v>#REF!</v>
      </c>
      <c r="AN181" s="1037" t="e">
        <f>IF(AND(#REF!="",#REF!=1),"",#REF!)</f>
        <v>#REF!</v>
      </c>
      <c r="AO181" s="1038" t="e">
        <f>IF(#REF!="","",#REF!)</f>
        <v>#REF!</v>
      </c>
      <c r="AP181" s="971" t="e">
        <f>IF(#REF!="","",#REF!)</f>
        <v>#REF!</v>
      </c>
      <c r="AQ181" s="1039" t="e">
        <f>IF(#REF!="","",#REF!)</f>
        <v>#REF!</v>
      </c>
      <c r="AR181" s="973" t="e">
        <f>IF(#REF!="","",#REF!)</f>
        <v>#REF!</v>
      </c>
      <c r="AS181" s="974" t="e">
        <f>IF(#REF!="","",#REF!)</f>
        <v>#REF!</v>
      </c>
      <c r="AT181" s="975" t="e">
        <f>IF(#REF!="","",#REF!)</f>
        <v>#REF!</v>
      </c>
      <c r="AU181" s="976" t="e">
        <f>IF(#REF!="","",#REF!)</f>
        <v>#REF!</v>
      </c>
      <c r="AV181" s="977" t="e">
        <f>IF(#REF!="","",#REF!)</f>
        <v>#REF!</v>
      </c>
      <c r="AW181" s="1040" t="e">
        <f>IF(#REF!="","",#REF!)</f>
        <v>#REF!</v>
      </c>
      <c r="AX181" s="987" t="e">
        <f>IF(#REF!="","",#REF!)</f>
        <v>#REF!</v>
      </c>
    </row>
    <row r="182" spans="38:50">
      <c r="AL182" s="1035" t="e">
        <f>IF(#REF!="","",#REF!)</f>
        <v>#REF!</v>
      </c>
      <c r="AM182" s="1036" t="e">
        <f>IF(#REF!="","",#REF!)</f>
        <v>#REF!</v>
      </c>
      <c r="AN182" s="1037" t="e">
        <f>IF(AND(#REF!="",#REF!=1),"",#REF!)</f>
        <v>#REF!</v>
      </c>
      <c r="AO182" s="1038" t="e">
        <f>IF(#REF!="","",#REF!)</f>
        <v>#REF!</v>
      </c>
      <c r="AP182" s="971" t="e">
        <f>IF(#REF!="","",#REF!)</f>
        <v>#REF!</v>
      </c>
      <c r="AQ182" s="1039" t="e">
        <f>IF(#REF!="","",#REF!)</f>
        <v>#REF!</v>
      </c>
      <c r="AR182" s="973" t="e">
        <f>IF(#REF!="","",#REF!)</f>
        <v>#REF!</v>
      </c>
      <c r="AS182" s="974" t="e">
        <f>IF(#REF!="","",#REF!)</f>
        <v>#REF!</v>
      </c>
      <c r="AT182" s="975" t="e">
        <f>IF(#REF!="","",#REF!)</f>
        <v>#REF!</v>
      </c>
      <c r="AU182" s="976" t="e">
        <f>IF(#REF!="","",#REF!)</f>
        <v>#REF!</v>
      </c>
      <c r="AV182" s="977" t="e">
        <f>IF(#REF!="","",#REF!)</f>
        <v>#REF!</v>
      </c>
      <c r="AW182" s="1040" t="e">
        <f>IF(#REF!="","",#REF!)</f>
        <v>#REF!</v>
      </c>
      <c r="AX182" s="987" t="e">
        <f>IF(#REF!="","",#REF!)</f>
        <v>#REF!</v>
      </c>
    </row>
    <row r="183" spans="38:50">
      <c r="AL183" s="1035" t="e">
        <f>IF(#REF!="","",#REF!)</f>
        <v>#REF!</v>
      </c>
      <c r="AM183" s="1036" t="e">
        <f>IF(#REF!="","",#REF!)</f>
        <v>#REF!</v>
      </c>
      <c r="AN183" s="1037" t="e">
        <f>IF(AND(#REF!="",#REF!=1),"",#REF!)</f>
        <v>#REF!</v>
      </c>
      <c r="AO183" s="1038" t="e">
        <f>IF(#REF!="","",#REF!)</f>
        <v>#REF!</v>
      </c>
      <c r="AP183" s="971" t="e">
        <f>IF(#REF!="","",#REF!)</f>
        <v>#REF!</v>
      </c>
      <c r="AQ183" s="1039" t="e">
        <f>IF(#REF!="","",#REF!)</f>
        <v>#REF!</v>
      </c>
      <c r="AR183" s="973" t="e">
        <f>IF(#REF!="","",#REF!)</f>
        <v>#REF!</v>
      </c>
      <c r="AS183" s="974" t="e">
        <f>IF(#REF!="","",#REF!)</f>
        <v>#REF!</v>
      </c>
      <c r="AT183" s="975" t="e">
        <f>IF(#REF!="","",#REF!)</f>
        <v>#REF!</v>
      </c>
      <c r="AU183" s="976" t="e">
        <f>IF(#REF!="","",#REF!)</f>
        <v>#REF!</v>
      </c>
      <c r="AV183" s="977" t="e">
        <f>IF(#REF!="","",#REF!)</f>
        <v>#REF!</v>
      </c>
      <c r="AW183" s="1040" t="e">
        <f>IF(#REF!="","",#REF!)</f>
        <v>#REF!</v>
      </c>
      <c r="AX183" s="987" t="e">
        <f>IF(#REF!="","",#REF!)</f>
        <v>#REF!</v>
      </c>
    </row>
    <row r="184" spans="38:50">
      <c r="AL184" s="1035" t="e">
        <f>IF(#REF!="","",#REF!)</f>
        <v>#REF!</v>
      </c>
      <c r="AM184" s="1036" t="e">
        <f>IF(#REF!="","",#REF!)</f>
        <v>#REF!</v>
      </c>
      <c r="AN184" s="1037" t="e">
        <f>IF(AND(#REF!="",#REF!=1),"",#REF!)</f>
        <v>#REF!</v>
      </c>
      <c r="AO184" s="1038" t="e">
        <f>IF(#REF!="","",#REF!)</f>
        <v>#REF!</v>
      </c>
      <c r="AP184" s="971" t="e">
        <f>IF(#REF!="","",#REF!)</f>
        <v>#REF!</v>
      </c>
      <c r="AQ184" s="1039" t="e">
        <f>IF(#REF!="","",#REF!)</f>
        <v>#REF!</v>
      </c>
      <c r="AR184" s="973" t="e">
        <f>IF(#REF!="","",#REF!)</f>
        <v>#REF!</v>
      </c>
      <c r="AS184" s="974" t="e">
        <f>IF(#REF!="","",#REF!)</f>
        <v>#REF!</v>
      </c>
      <c r="AT184" s="975" t="e">
        <f>IF(#REF!="","",#REF!)</f>
        <v>#REF!</v>
      </c>
      <c r="AU184" s="976" t="e">
        <f>IF(#REF!="","",#REF!)</f>
        <v>#REF!</v>
      </c>
      <c r="AV184" s="977" t="e">
        <f>IF(#REF!="","",#REF!)</f>
        <v>#REF!</v>
      </c>
      <c r="AW184" s="1040" t="e">
        <f>IF(#REF!="","",#REF!)</f>
        <v>#REF!</v>
      </c>
      <c r="AX184" s="987" t="e">
        <f>IF(#REF!="","",#REF!)</f>
        <v>#REF!</v>
      </c>
    </row>
    <row r="185" spans="38:50">
      <c r="AL185" s="1035" t="e">
        <f>IF(#REF!="","",#REF!)</f>
        <v>#REF!</v>
      </c>
      <c r="AM185" s="1036" t="e">
        <f>IF(#REF!="","",#REF!)</f>
        <v>#REF!</v>
      </c>
      <c r="AN185" s="1037" t="e">
        <f>IF(AND(#REF!="",#REF!=1),"",#REF!)</f>
        <v>#REF!</v>
      </c>
      <c r="AO185" s="1038" t="e">
        <f>IF(#REF!="","",#REF!)</f>
        <v>#REF!</v>
      </c>
      <c r="AP185" s="971" t="e">
        <f>IF(#REF!="","",#REF!)</f>
        <v>#REF!</v>
      </c>
      <c r="AQ185" s="1039" t="e">
        <f>IF(#REF!="","",#REF!)</f>
        <v>#REF!</v>
      </c>
      <c r="AR185" s="973" t="e">
        <f>IF(#REF!="","",#REF!)</f>
        <v>#REF!</v>
      </c>
      <c r="AS185" s="974" t="e">
        <f>IF(#REF!="","",#REF!)</f>
        <v>#REF!</v>
      </c>
      <c r="AT185" s="975" t="e">
        <f>IF(#REF!="","",#REF!)</f>
        <v>#REF!</v>
      </c>
      <c r="AU185" s="976" t="e">
        <f>IF(#REF!="","",#REF!)</f>
        <v>#REF!</v>
      </c>
      <c r="AV185" s="977" t="e">
        <f>IF(#REF!="","",#REF!)</f>
        <v>#REF!</v>
      </c>
      <c r="AW185" s="1040" t="e">
        <f>IF(#REF!="","",#REF!)</f>
        <v>#REF!</v>
      </c>
      <c r="AX185" s="987" t="e">
        <f>IF(#REF!="","",#REF!)</f>
        <v>#REF!</v>
      </c>
    </row>
    <row r="186" spans="38:50">
      <c r="AL186" s="1035" t="e">
        <f>IF(#REF!="","",#REF!)</f>
        <v>#REF!</v>
      </c>
      <c r="AM186" s="1036" t="e">
        <f>IF(#REF!="","",#REF!)</f>
        <v>#REF!</v>
      </c>
      <c r="AN186" s="1037" t="e">
        <f>IF(AND(#REF!="",#REF!=1),"",#REF!)</f>
        <v>#REF!</v>
      </c>
      <c r="AO186" s="1038" t="e">
        <f>IF(#REF!="","",#REF!)</f>
        <v>#REF!</v>
      </c>
      <c r="AP186" s="971" t="e">
        <f>IF(#REF!="","",#REF!)</f>
        <v>#REF!</v>
      </c>
      <c r="AQ186" s="1039" t="e">
        <f>IF(#REF!="","",#REF!)</f>
        <v>#REF!</v>
      </c>
      <c r="AR186" s="973" t="e">
        <f>IF(#REF!="","",#REF!)</f>
        <v>#REF!</v>
      </c>
      <c r="AS186" s="974" t="e">
        <f>IF(#REF!="","",#REF!)</f>
        <v>#REF!</v>
      </c>
      <c r="AT186" s="975" t="e">
        <f>IF(#REF!="","",#REF!)</f>
        <v>#REF!</v>
      </c>
      <c r="AU186" s="976" t="e">
        <f>IF(#REF!="","",#REF!)</f>
        <v>#REF!</v>
      </c>
      <c r="AV186" s="977" t="e">
        <f>IF(#REF!="","",#REF!)</f>
        <v>#REF!</v>
      </c>
      <c r="AW186" s="1040" t="e">
        <f>IF(#REF!="","",#REF!)</f>
        <v>#REF!</v>
      </c>
      <c r="AX186" s="987" t="e">
        <f>IF(#REF!="","",#REF!)</f>
        <v>#REF!</v>
      </c>
    </row>
    <row r="187" spans="38:50">
      <c r="AL187" s="1035" t="e">
        <f>IF(#REF!="","",#REF!)</f>
        <v>#REF!</v>
      </c>
      <c r="AM187" s="1036" t="e">
        <f>IF(#REF!="","",#REF!)</f>
        <v>#REF!</v>
      </c>
      <c r="AN187" s="1037" t="e">
        <f>IF(AND(#REF!="",#REF!=1),"",#REF!)</f>
        <v>#REF!</v>
      </c>
      <c r="AO187" s="1038" t="e">
        <f>IF(#REF!="","",#REF!)</f>
        <v>#REF!</v>
      </c>
      <c r="AP187" s="971" t="e">
        <f>IF(#REF!="","",#REF!)</f>
        <v>#REF!</v>
      </c>
      <c r="AQ187" s="1039" t="e">
        <f>IF(#REF!="","",#REF!)</f>
        <v>#REF!</v>
      </c>
      <c r="AR187" s="973" t="e">
        <f>IF(#REF!="","",#REF!)</f>
        <v>#REF!</v>
      </c>
      <c r="AS187" s="974" t="e">
        <f>IF(#REF!="","",#REF!)</f>
        <v>#REF!</v>
      </c>
      <c r="AT187" s="975" t="e">
        <f>IF(#REF!="","",#REF!)</f>
        <v>#REF!</v>
      </c>
      <c r="AU187" s="976" t="e">
        <f>IF(#REF!="","",#REF!)</f>
        <v>#REF!</v>
      </c>
      <c r="AV187" s="977" t="e">
        <f>IF(#REF!="","",#REF!)</f>
        <v>#REF!</v>
      </c>
      <c r="AW187" s="1040" t="e">
        <f>IF(#REF!="","",#REF!)</f>
        <v>#REF!</v>
      </c>
      <c r="AX187" s="987" t="e">
        <f>IF(#REF!="","",#REF!)</f>
        <v>#REF!</v>
      </c>
    </row>
    <row r="188" spans="38:50">
      <c r="AL188" s="1035" t="e">
        <f>IF(#REF!="","",#REF!)</f>
        <v>#REF!</v>
      </c>
      <c r="AM188" s="1036" t="e">
        <f>IF(#REF!="","",#REF!)</f>
        <v>#REF!</v>
      </c>
      <c r="AN188" s="1037" t="e">
        <f>IF(AND(#REF!="",#REF!=1),"",#REF!)</f>
        <v>#REF!</v>
      </c>
      <c r="AO188" s="1038" t="e">
        <f>IF(#REF!="","",#REF!)</f>
        <v>#REF!</v>
      </c>
      <c r="AP188" s="971" t="e">
        <f>IF(#REF!="","",#REF!)</f>
        <v>#REF!</v>
      </c>
      <c r="AQ188" s="1039" t="e">
        <f>IF(#REF!="","",#REF!)</f>
        <v>#REF!</v>
      </c>
      <c r="AR188" s="973" t="e">
        <f>IF(#REF!="","",#REF!)</f>
        <v>#REF!</v>
      </c>
      <c r="AS188" s="974" t="e">
        <f>IF(#REF!="","",#REF!)</f>
        <v>#REF!</v>
      </c>
      <c r="AT188" s="975" t="e">
        <f>IF(#REF!="","",#REF!)</f>
        <v>#REF!</v>
      </c>
      <c r="AU188" s="976" t="e">
        <f>IF(#REF!="","",#REF!)</f>
        <v>#REF!</v>
      </c>
      <c r="AV188" s="977" t="e">
        <f>IF(#REF!="","",#REF!)</f>
        <v>#REF!</v>
      </c>
      <c r="AW188" s="1040" t="e">
        <f>IF(#REF!="","",#REF!)</f>
        <v>#REF!</v>
      </c>
      <c r="AX188" s="987" t="e">
        <f>IF(#REF!="","",#REF!)</f>
        <v>#REF!</v>
      </c>
    </row>
    <row r="189" spans="38:50">
      <c r="AL189" s="1035" t="e">
        <f>IF(#REF!="","",#REF!)</f>
        <v>#REF!</v>
      </c>
      <c r="AM189" s="1036" t="e">
        <f>IF(#REF!="","",#REF!)</f>
        <v>#REF!</v>
      </c>
      <c r="AN189" s="1037" t="e">
        <f>IF(AND(#REF!="",#REF!=1),"",#REF!)</f>
        <v>#REF!</v>
      </c>
      <c r="AO189" s="1038" t="e">
        <f>IF(#REF!="","",#REF!)</f>
        <v>#REF!</v>
      </c>
      <c r="AP189" s="971" t="e">
        <f>IF(#REF!="","",#REF!)</f>
        <v>#REF!</v>
      </c>
      <c r="AQ189" s="1039" t="e">
        <f>IF(#REF!="","",#REF!)</f>
        <v>#REF!</v>
      </c>
      <c r="AR189" s="973" t="e">
        <f>IF(#REF!="","",#REF!)</f>
        <v>#REF!</v>
      </c>
      <c r="AS189" s="974" t="e">
        <f>IF(#REF!="","",#REF!)</f>
        <v>#REF!</v>
      </c>
      <c r="AT189" s="975" t="e">
        <f>IF(#REF!="","",#REF!)</f>
        <v>#REF!</v>
      </c>
      <c r="AU189" s="976" t="e">
        <f>IF(#REF!="","",#REF!)</f>
        <v>#REF!</v>
      </c>
      <c r="AV189" s="977" t="e">
        <f>IF(#REF!="","",#REF!)</f>
        <v>#REF!</v>
      </c>
      <c r="AW189" s="1040" t="e">
        <f>IF(#REF!="","",#REF!)</f>
        <v>#REF!</v>
      </c>
      <c r="AX189" s="987" t="e">
        <f>IF(#REF!="","",#REF!)</f>
        <v>#REF!</v>
      </c>
    </row>
    <row r="190" spans="38:50">
      <c r="AL190" s="1035" t="e">
        <f>IF(#REF!="","",#REF!)</f>
        <v>#REF!</v>
      </c>
      <c r="AM190" s="1036" t="e">
        <f>IF(#REF!="","",#REF!)</f>
        <v>#REF!</v>
      </c>
      <c r="AN190" s="1037" t="e">
        <f>IF(AND(#REF!="",#REF!=1),"",#REF!)</f>
        <v>#REF!</v>
      </c>
      <c r="AO190" s="1038" t="e">
        <f>IF(#REF!="","",#REF!)</f>
        <v>#REF!</v>
      </c>
      <c r="AP190" s="971" t="e">
        <f>IF(#REF!="","",#REF!)</f>
        <v>#REF!</v>
      </c>
      <c r="AQ190" s="1039" t="e">
        <f>IF(#REF!="","",#REF!)</f>
        <v>#REF!</v>
      </c>
      <c r="AR190" s="973" t="e">
        <f>IF(#REF!="","",#REF!)</f>
        <v>#REF!</v>
      </c>
      <c r="AS190" s="974" t="e">
        <f>IF(#REF!="","",#REF!)</f>
        <v>#REF!</v>
      </c>
      <c r="AT190" s="975" t="e">
        <f>IF(#REF!="","",#REF!)</f>
        <v>#REF!</v>
      </c>
      <c r="AU190" s="976" t="e">
        <f>IF(#REF!="","",#REF!)</f>
        <v>#REF!</v>
      </c>
      <c r="AV190" s="977" t="e">
        <f>IF(#REF!="","",#REF!)</f>
        <v>#REF!</v>
      </c>
      <c r="AW190" s="1040" t="e">
        <f>IF(#REF!="","",#REF!)</f>
        <v>#REF!</v>
      </c>
      <c r="AX190" s="987" t="e">
        <f>IF(#REF!="","",#REF!)</f>
        <v>#REF!</v>
      </c>
    </row>
    <row r="191" spans="38:50">
      <c r="AL191" s="1035" t="e">
        <f>IF(#REF!="","",#REF!)</f>
        <v>#REF!</v>
      </c>
      <c r="AM191" s="1036" t="e">
        <f>IF(#REF!="","",#REF!)</f>
        <v>#REF!</v>
      </c>
      <c r="AN191" s="1037" t="e">
        <f>IF(AND(#REF!="",#REF!=1),"",#REF!)</f>
        <v>#REF!</v>
      </c>
      <c r="AO191" s="1038" t="e">
        <f>IF(#REF!="","",#REF!)</f>
        <v>#REF!</v>
      </c>
      <c r="AP191" s="971" t="e">
        <f>IF(#REF!="","",#REF!)</f>
        <v>#REF!</v>
      </c>
      <c r="AQ191" s="1039" t="e">
        <f>IF(#REF!="","",#REF!)</f>
        <v>#REF!</v>
      </c>
      <c r="AR191" s="973" t="e">
        <f>IF(#REF!="","",#REF!)</f>
        <v>#REF!</v>
      </c>
      <c r="AS191" s="974" t="e">
        <f>IF(#REF!="","",#REF!)</f>
        <v>#REF!</v>
      </c>
      <c r="AT191" s="975" t="e">
        <f>IF(#REF!="","",#REF!)</f>
        <v>#REF!</v>
      </c>
      <c r="AU191" s="976" t="e">
        <f>IF(#REF!="","",#REF!)</f>
        <v>#REF!</v>
      </c>
      <c r="AV191" s="977" t="e">
        <f>IF(#REF!="","",#REF!)</f>
        <v>#REF!</v>
      </c>
      <c r="AW191" s="1040" t="e">
        <f>IF(#REF!="","",#REF!)</f>
        <v>#REF!</v>
      </c>
      <c r="AX191" s="987" t="e">
        <f>IF(#REF!="","",#REF!)</f>
        <v>#REF!</v>
      </c>
    </row>
    <row r="192" spans="38:50">
      <c r="AL192" s="1035" t="e">
        <f>IF(#REF!="","",#REF!)</f>
        <v>#REF!</v>
      </c>
      <c r="AM192" s="1036" t="e">
        <f>IF(#REF!="","",#REF!)</f>
        <v>#REF!</v>
      </c>
      <c r="AN192" s="1037" t="e">
        <f>IF(AND(#REF!="",#REF!=1),"",#REF!)</f>
        <v>#REF!</v>
      </c>
      <c r="AO192" s="1038" t="e">
        <f>IF(#REF!="","",#REF!)</f>
        <v>#REF!</v>
      </c>
      <c r="AP192" s="971" t="e">
        <f>IF(#REF!="","",#REF!)</f>
        <v>#REF!</v>
      </c>
      <c r="AQ192" s="1039" t="e">
        <f>IF(#REF!="","",#REF!)</f>
        <v>#REF!</v>
      </c>
      <c r="AR192" s="973" t="e">
        <f>IF(#REF!="","",#REF!)</f>
        <v>#REF!</v>
      </c>
      <c r="AS192" s="974" t="e">
        <f>IF(#REF!="","",#REF!)</f>
        <v>#REF!</v>
      </c>
      <c r="AT192" s="975" t="e">
        <f>IF(#REF!="","",#REF!)</f>
        <v>#REF!</v>
      </c>
      <c r="AU192" s="976" t="e">
        <f>IF(#REF!="","",#REF!)</f>
        <v>#REF!</v>
      </c>
      <c r="AV192" s="977" t="e">
        <f>IF(#REF!="","",#REF!)</f>
        <v>#REF!</v>
      </c>
      <c r="AW192" s="1040" t="e">
        <f>IF(#REF!="","",#REF!)</f>
        <v>#REF!</v>
      </c>
      <c r="AX192" s="987" t="e">
        <f>IF(#REF!="","",#REF!)</f>
        <v>#REF!</v>
      </c>
    </row>
    <row r="193" spans="38:50">
      <c r="AL193" s="1035" t="e">
        <f>IF(#REF!="","",#REF!)</f>
        <v>#REF!</v>
      </c>
      <c r="AM193" s="1036" t="e">
        <f>IF(#REF!="","",#REF!)</f>
        <v>#REF!</v>
      </c>
      <c r="AN193" s="1037" t="e">
        <f>IF(AND(#REF!="",#REF!=1),"",#REF!)</f>
        <v>#REF!</v>
      </c>
      <c r="AO193" s="1038" t="e">
        <f>IF(#REF!="","",#REF!)</f>
        <v>#REF!</v>
      </c>
      <c r="AP193" s="971" t="e">
        <f>IF(#REF!="","",#REF!)</f>
        <v>#REF!</v>
      </c>
      <c r="AQ193" s="1039" t="e">
        <f>IF(#REF!="","",#REF!)</f>
        <v>#REF!</v>
      </c>
      <c r="AR193" s="973" t="e">
        <f>IF(#REF!="","",#REF!)</f>
        <v>#REF!</v>
      </c>
      <c r="AS193" s="974" t="e">
        <f>IF(#REF!="","",#REF!)</f>
        <v>#REF!</v>
      </c>
      <c r="AT193" s="975" t="e">
        <f>IF(#REF!="","",#REF!)</f>
        <v>#REF!</v>
      </c>
      <c r="AU193" s="976" t="e">
        <f>IF(#REF!="","",#REF!)</f>
        <v>#REF!</v>
      </c>
      <c r="AV193" s="977" t="e">
        <f>IF(#REF!="","",#REF!)</f>
        <v>#REF!</v>
      </c>
      <c r="AW193" s="1040" t="e">
        <f>IF(#REF!="","",#REF!)</f>
        <v>#REF!</v>
      </c>
      <c r="AX193" s="987" t="e">
        <f>IF(#REF!="","",#REF!)</f>
        <v>#REF!</v>
      </c>
    </row>
    <row r="194" spans="38:50">
      <c r="AL194" s="1035" t="e">
        <f>IF(#REF!="","",#REF!)</f>
        <v>#REF!</v>
      </c>
      <c r="AM194" s="1036" t="e">
        <f>IF(#REF!="","",#REF!)</f>
        <v>#REF!</v>
      </c>
      <c r="AN194" s="1037" t="e">
        <f>IF(AND(#REF!="",#REF!=1),"",#REF!)</f>
        <v>#REF!</v>
      </c>
      <c r="AO194" s="1038" t="e">
        <f>IF(#REF!="","",#REF!)</f>
        <v>#REF!</v>
      </c>
      <c r="AP194" s="971" t="e">
        <f>IF(#REF!="","",#REF!)</f>
        <v>#REF!</v>
      </c>
      <c r="AQ194" s="1039" t="e">
        <f>IF(#REF!="","",#REF!)</f>
        <v>#REF!</v>
      </c>
      <c r="AR194" s="973" t="e">
        <f>IF(#REF!="","",#REF!)</f>
        <v>#REF!</v>
      </c>
      <c r="AS194" s="974" t="e">
        <f>IF(#REF!="","",#REF!)</f>
        <v>#REF!</v>
      </c>
      <c r="AT194" s="975" t="e">
        <f>IF(#REF!="","",#REF!)</f>
        <v>#REF!</v>
      </c>
      <c r="AU194" s="976" t="e">
        <f>IF(#REF!="","",#REF!)</f>
        <v>#REF!</v>
      </c>
      <c r="AV194" s="977" t="e">
        <f>IF(#REF!="","",#REF!)</f>
        <v>#REF!</v>
      </c>
      <c r="AW194" s="1040" t="e">
        <f>IF(#REF!="","",#REF!)</f>
        <v>#REF!</v>
      </c>
      <c r="AX194" s="987" t="e">
        <f>IF(#REF!="","",#REF!)</f>
        <v>#REF!</v>
      </c>
    </row>
    <row r="195" spans="38:50">
      <c r="AL195" s="1035" t="e">
        <f>IF(#REF!="","",#REF!)</f>
        <v>#REF!</v>
      </c>
      <c r="AM195" s="1036" t="e">
        <f>IF(#REF!="","",#REF!)</f>
        <v>#REF!</v>
      </c>
      <c r="AN195" s="1037" t="e">
        <f>IF(AND(#REF!="",#REF!=1),"",#REF!)</f>
        <v>#REF!</v>
      </c>
      <c r="AO195" s="1038" t="e">
        <f>IF(#REF!="","",#REF!)</f>
        <v>#REF!</v>
      </c>
      <c r="AP195" s="971" t="e">
        <f>IF(#REF!="","",#REF!)</f>
        <v>#REF!</v>
      </c>
      <c r="AQ195" s="1039" t="e">
        <f>IF(#REF!="","",#REF!)</f>
        <v>#REF!</v>
      </c>
      <c r="AR195" s="973" t="e">
        <f>IF(#REF!="","",#REF!)</f>
        <v>#REF!</v>
      </c>
      <c r="AS195" s="974" t="e">
        <f>IF(#REF!="","",#REF!)</f>
        <v>#REF!</v>
      </c>
      <c r="AT195" s="975" t="e">
        <f>IF(#REF!="","",#REF!)</f>
        <v>#REF!</v>
      </c>
      <c r="AU195" s="976" t="e">
        <f>IF(#REF!="","",#REF!)</f>
        <v>#REF!</v>
      </c>
      <c r="AV195" s="977" t="e">
        <f>IF(#REF!="","",#REF!)</f>
        <v>#REF!</v>
      </c>
      <c r="AW195" s="1040" t="e">
        <f>IF(#REF!="","",#REF!)</f>
        <v>#REF!</v>
      </c>
      <c r="AX195" s="987" t="e">
        <f>IF(#REF!="","",#REF!)</f>
        <v>#REF!</v>
      </c>
    </row>
    <row r="196" spans="38:50">
      <c r="AL196" s="1035" t="e">
        <f>IF(#REF!="","",#REF!)</f>
        <v>#REF!</v>
      </c>
      <c r="AM196" s="1036" t="e">
        <f>IF(#REF!="","",#REF!)</f>
        <v>#REF!</v>
      </c>
      <c r="AN196" s="1037" t="e">
        <f>IF(AND(#REF!="",#REF!=1),"",#REF!)</f>
        <v>#REF!</v>
      </c>
      <c r="AO196" s="1038" t="e">
        <f>IF(#REF!="","",#REF!)</f>
        <v>#REF!</v>
      </c>
      <c r="AP196" s="971" t="e">
        <f>IF(#REF!="","",#REF!)</f>
        <v>#REF!</v>
      </c>
      <c r="AQ196" s="1039" t="e">
        <f>IF(#REF!="","",#REF!)</f>
        <v>#REF!</v>
      </c>
      <c r="AR196" s="973" t="e">
        <f>IF(#REF!="","",#REF!)</f>
        <v>#REF!</v>
      </c>
      <c r="AS196" s="974" t="e">
        <f>IF(#REF!="","",#REF!)</f>
        <v>#REF!</v>
      </c>
      <c r="AT196" s="975" t="e">
        <f>IF(#REF!="","",#REF!)</f>
        <v>#REF!</v>
      </c>
      <c r="AU196" s="976" t="e">
        <f>IF(#REF!="","",#REF!)</f>
        <v>#REF!</v>
      </c>
      <c r="AV196" s="977" t="e">
        <f>IF(#REF!="","",#REF!)</f>
        <v>#REF!</v>
      </c>
      <c r="AW196" s="1040" t="e">
        <f>IF(#REF!="","",#REF!)</f>
        <v>#REF!</v>
      </c>
      <c r="AX196" s="987" t="e">
        <f>IF(#REF!="","",#REF!)</f>
        <v>#REF!</v>
      </c>
    </row>
    <row r="197" spans="38:50">
      <c r="AL197" s="1035" t="e">
        <f>IF(#REF!="","",#REF!)</f>
        <v>#REF!</v>
      </c>
      <c r="AM197" s="1036" t="e">
        <f>IF(#REF!="","",#REF!)</f>
        <v>#REF!</v>
      </c>
      <c r="AN197" s="1037" t="e">
        <f>IF(AND(#REF!="",#REF!=1),"",#REF!)</f>
        <v>#REF!</v>
      </c>
      <c r="AO197" s="1038" t="e">
        <f>IF(#REF!="","",#REF!)</f>
        <v>#REF!</v>
      </c>
      <c r="AP197" s="971" t="e">
        <f>IF(#REF!="","",#REF!)</f>
        <v>#REF!</v>
      </c>
      <c r="AQ197" s="1039" t="e">
        <f>IF(#REF!="","",#REF!)</f>
        <v>#REF!</v>
      </c>
      <c r="AR197" s="973" t="e">
        <f>IF(#REF!="","",#REF!)</f>
        <v>#REF!</v>
      </c>
      <c r="AS197" s="974" t="e">
        <f>IF(#REF!="","",#REF!)</f>
        <v>#REF!</v>
      </c>
      <c r="AT197" s="975" t="e">
        <f>IF(#REF!="","",#REF!)</f>
        <v>#REF!</v>
      </c>
      <c r="AU197" s="976" t="e">
        <f>IF(#REF!="","",#REF!)</f>
        <v>#REF!</v>
      </c>
      <c r="AV197" s="977" t="e">
        <f>IF(#REF!="","",#REF!)</f>
        <v>#REF!</v>
      </c>
      <c r="AW197" s="1040" t="e">
        <f>IF(#REF!="","",#REF!)</f>
        <v>#REF!</v>
      </c>
      <c r="AX197" s="987" t="e">
        <f>IF(#REF!="","",#REF!)</f>
        <v>#REF!</v>
      </c>
    </row>
    <row r="198" spans="38:50">
      <c r="AL198" s="1035" t="e">
        <f>IF(#REF!="","",#REF!)</f>
        <v>#REF!</v>
      </c>
      <c r="AM198" s="1036" t="e">
        <f>IF(#REF!="","",#REF!)</f>
        <v>#REF!</v>
      </c>
      <c r="AN198" s="1037" t="e">
        <f>IF(AND(#REF!="",#REF!=1),"",#REF!)</f>
        <v>#REF!</v>
      </c>
      <c r="AO198" s="1038" t="e">
        <f>IF(#REF!="","",#REF!)</f>
        <v>#REF!</v>
      </c>
      <c r="AP198" s="971" t="e">
        <f>IF(#REF!="","",#REF!)</f>
        <v>#REF!</v>
      </c>
      <c r="AQ198" s="1039" t="e">
        <f>IF(#REF!="","",#REF!)</f>
        <v>#REF!</v>
      </c>
      <c r="AR198" s="973" t="e">
        <f>IF(#REF!="","",#REF!)</f>
        <v>#REF!</v>
      </c>
      <c r="AS198" s="974" t="e">
        <f>IF(#REF!="","",#REF!)</f>
        <v>#REF!</v>
      </c>
      <c r="AT198" s="975" t="e">
        <f>IF(#REF!="","",#REF!)</f>
        <v>#REF!</v>
      </c>
      <c r="AU198" s="976" t="e">
        <f>IF(#REF!="","",#REF!)</f>
        <v>#REF!</v>
      </c>
      <c r="AV198" s="977" t="e">
        <f>IF(#REF!="","",#REF!)</f>
        <v>#REF!</v>
      </c>
      <c r="AW198" s="1040" t="e">
        <f>IF(#REF!="","",#REF!)</f>
        <v>#REF!</v>
      </c>
      <c r="AX198" s="987" t="e">
        <f>IF(#REF!="","",#REF!)</f>
        <v>#REF!</v>
      </c>
    </row>
    <row r="199" spans="38:50">
      <c r="AL199" s="1035" t="e">
        <f>IF(#REF!="","",#REF!)</f>
        <v>#REF!</v>
      </c>
      <c r="AM199" s="1036" t="e">
        <f>IF(#REF!="","",#REF!)</f>
        <v>#REF!</v>
      </c>
      <c r="AN199" s="1037" t="e">
        <f>IF(AND(#REF!="",#REF!=1),"",#REF!)</f>
        <v>#REF!</v>
      </c>
      <c r="AO199" s="1038" t="e">
        <f>IF(#REF!="","",#REF!)</f>
        <v>#REF!</v>
      </c>
      <c r="AP199" s="971" t="e">
        <f>IF(#REF!="","",#REF!)</f>
        <v>#REF!</v>
      </c>
      <c r="AQ199" s="1039" t="e">
        <f>IF(#REF!="","",#REF!)</f>
        <v>#REF!</v>
      </c>
      <c r="AR199" s="973" t="e">
        <f>IF(#REF!="","",#REF!)</f>
        <v>#REF!</v>
      </c>
      <c r="AS199" s="974" t="e">
        <f>IF(#REF!="","",#REF!)</f>
        <v>#REF!</v>
      </c>
      <c r="AT199" s="975" t="e">
        <f>IF(#REF!="","",#REF!)</f>
        <v>#REF!</v>
      </c>
      <c r="AU199" s="976" t="e">
        <f>IF(#REF!="","",#REF!)</f>
        <v>#REF!</v>
      </c>
      <c r="AV199" s="977" t="e">
        <f>IF(#REF!="","",#REF!)</f>
        <v>#REF!</v>
      </c>
      <c r="AW199" s="1040" t="e">
        <f>IF(#REF!="","",#REF!)</f>
        <v>#REF!</v>
      </c>
      <c r="AX199" s="987" t="e">
        <f>IF(#REF!="","",#REF!)</f>
        <v>#REF!</v>
      </c>
    </row>
    <row r="200" spans="38:50">
      <c r="AL200" s="1035" t="e">
        <f>IF(#REF!="","",#REF!)</f>
        <v>#REF!</v>
      </c>
      <c r="AM200" s="1036" t="e">
        <f>IF(#REF!="","",#REF!)</f>
        <v>#REF!</v>
      </c>
      <c r="AN200" s="1037" t="e">
        <f>IF(AND(#REF!="",#REF!=1),"",#REF!)</f>
        <v>#REF!</v>
      </c>
      <c r="AO200" s="1038" t="e">
        <f>IF(#REF!="","",#REF!)</f>
        <v>#REF!</v>
      </c>
      <c r="AP200" s="971" t="e">
        <f>IF(#REF!="","",#REF!)</f>
        <v>#REF!</v>
      </c>
      <c r="AQ200" s="1039" t="e">
        <f>IF(#REF!="","",#REF!)</f>
        <v>#REF!</v>
      </c>
      <c r="AR200" s="973" t="e">
        <f>IF(#REF!="","",#REF!)</f>
        <v>#REF!</v>
      </c>
      <c r="AS200" s="974" t="e">
        <f>IF(#REF!="","",#REF!)</f>
        <v>#REF!</v>
      </c>
      <c r="AT200" s="975" t="e">
        <f>IF(#REF!="","",#REF!)</f>
        <v>#REF!</v>
      </c>
      <c r="AU200" s="976" t="e">
        <f>IF(#REF!="","",#REF!)</f>
        <v>#REF!</v>
      </c>
      <c r="AV200" s="977" t="e">
        <f>IF(#REF!="","",#REF!)</f>
        <v>#REF!</v>
      </c>
      <c r="AW200" s="1040" t="e">
        <f>IF(#REF!="","",#REF!)</f>
        <v>#REF!</v>
      </c>
      <c r="AX200" s="987" t="e">
        <f>IF(#REF!="","",#REF!)</f>
        <v>#REF!</v>
      </c>
    </row>
    <row r="201" spans="38:50">
      <c r="AL201" s="1035" t="e">
        <f>IF(#REF!="","",#REF!)</f>
        <v>#REF!</v>
      </c>
      <c r="AM201" s="1036" t="e">
        <f>IF(#REF!="","",#REF!)</f>
        <v>#REF!</v>
      </c>
      <c r="AN201" s="1037" t="e">
        <f>IF(AND(#REF!="",#REF!=1),"",#REF!)</f>
        <v>#REF!</v>
      </c>
      <c r="AO201" s="1038" t="e">
        <f>IF(#REF!="","",#REF!)</f>
        <v>#REF!</v>
      </c>
      <c r="AP201" s="971" t="e">
        <f>IF(#REF!="","",#REF!)</f>
        <v>#REF!</v>
      </c>
      <c r="AQ201" s="1039" t="e">
        <f>IF(#REF!="","",#REF!)</f>
        <v>#REF!</v>
      </c>
      <c r="AR201" s="973" t="e">
        <f>IF(#REF!="","",#REF!)</f>
        <v>#REF!</v>
      </c>
      <c r="AS201" s="974" t="e">
        <f>IF(#REF!="","",#REF!)</f>
        <v>#REF!</v>
      </c>
      <c r="AT201" s="975" t="e">
        <f>IF(#REF!="","",#REF!)</f>
        <v>#REF!</v>
      </c>
      <c r="AU201" s="976" t="e">
        <f>IF(#REF!="","",#REF!)</f>
        <v>#REF!</v>
      </c>
      <c r="AV201" s="977" t="e">
        <f>IF(#REF!="","",#REF!)</f>
        <v>#REF!</v>
      </c>
      <c r="AW201" s="1040" t="e">
        <f>IF(#REF!="","",#REF!)</f>
        <v>#REF!</v>
      </c>
      <c r="AX201" s="987" t="e">
        <f>IF(#REF!="","",#REF!)</f>
        <v>#REF!</v>
      </c>
    </row>
    <row r="202" spans="38:50">
      <c r="AL202" s="1035" t="e">
        <f>IF(#REF!="","",#REF!)</f>
        <v>#REF!</v>
      </c>
      <c r="AM202" s="1036" t="e">
        <f>IF(#REF!="","",#REF!)</f>
        <v>#REF!</v>
      </c>
      <c r="AN202" s="1037" t="e">
        <f>IF(AND(#REF!="",#REF!=1),"",#REF!)</f>
        <v>#REF!</v>
      </c>
      <c r="AO202" s="1038" t="e">
        <f>IF(#REF!="","",#REF!)</f>
        <v>#REF!</v>
      </c>
      <c r="AP202" s="971" t="e">
        <f>IF(#REF!="","",#REF!)</f>
        <v>#REF!</v>
      </c>
      <c r="AQ202" s="1039" t="e">
        <f>IF(#REF!="","",#REF!)</f>
        <v>#REF!</v>
      </c>
      <c r="AR202" s="973" t="e">
        <f>IF(#REF!="","",#REF!)</f>
        <v>#REF!</v>
      </c>
      <c r="AS202" s="974" t="e">
        <f>IF(#REF!="","",#REF!)</f>
        <v>#REF!</v>
      </c>
      <c r="AT202" s="975" t="e">
        <f>IF(#REF!="","",#REF!)</f>
        <v>#REF!</v>
      </c>
      <c r="AU202" s="976" t="e">
        <f>IF(#REF!="","",#REF!)</f>
        <v>#REF!</v>
      </c>
      <c r="AV202" s="977" t="e">
        <f>IF(#REF!="","",#REF!)</f>
        <v>#REF!</v>
      </c>
      <c r="AW202" s="1040" t="e">
        <f>IF(#REF!="","",#REF!)</f>
        <v>#REF!</v>
      </c>
      <c r="AX202" s="987" t="e">
        <f>IF(#REF!="","",#REF!)</f>
        <v>#REF!</v>
      </c>
    </row>
    <row r="203" spans="38:50">
      <c r="AL203" s="1035" t="e">
        <f>IF(#REF!="","",#REF!)</f>
        <v>#REF!</v>
      </c>
      <c r="AM203" s="1036" t="e">
        <f>IF(#REF!="","",#REF!)</f>
        <v>#REF!</v>
      </c>
      <c r="AN203" s="1037" t="e">
        <f>IF(AND(#REF!="",#REF!=1),"",#REF!)</f>
        <v>#REF!</v>
      </c>
      <c r="AO203" s="1038" t="e">
        <f>IF(#REF!="","",#REF!)</f>
        <v>#REF!</v>
      </c>
      <c r="AP203" s="971" t="e">
        <f>IF(#REF!="","",#REF!)</f>
        <v>#REF!</v>
      </c>
      <c r="AQ203" s="1039" t="e">
        <f>IF(#REF!="","",#REF!)</f>
        <v>#REF!</v>
      </c>
      <c r="AR203" s="973" t="e">
        <f>IF(#REF!="","",#REF!)</f>
        <v>#REF!</v>
      </c>
      <c r="AS203" s="974" t="e">
        <f>IF(#REF!="","",#REF!)</f>
        <v>#REF!</v>
      </c>
      <c r="AT203" s="975" t="e">
        <f>IF(#REF!="","",#REF!)</f>
        <v>#REF!</v>
      </c>
      <c r="AU203" s="976" t="e">
        <f>IF(#REF!="","",#REF!)</f>
        <v>#REF!</v>
      </c>
      <c r="AV203" s="977" t="e">
        <f>IF(#REF!="","",#REF!)</f>
        <v>#REF!</v>
      </c>
      <c r="AW203" s="1040" t="e">
        <f>IF(#REF!="","",#REF!)</f>
        <v>#REF!</v>
      </c>
      <c r="AX203" s="987" t="e">
        <f>IF(#REF!="","",#REF!)</f>
        <v>#REF!</v>
      </c>
    </row>
    <row r="204" spans="38:50">
      <c r="AL204" s="1035" t="e">
        <f>IF(#REF!="","",#REF!)</f>
        <v>#REF!</v>
      </c>
      <c r="AM204" s="1036" t="e">
        <f>IF(#REF!="","",#REF!)</f>
        <v>#REF!</v>
      </c>
      <c r="AN204" s="1037" t="e">
        <f>IF(AND(#REF!="",#REF!=1),"",#REF!)</f>
        <v>#REF!</v>
      </c>
      <c r="AO204" s="1038" t="e">
        <f>IF(#REF!="","",#REF!)</f>
        <v>#REF!</v>
      </c>
      <c r="AP204" s="971" t="e">
        <f>IF(#REF!="","",#REF!)</f>
        <v>#REF!</v>
      </c>
      <c r="AQ204" s="1039" t="e">
        <f>IF(#REF!="","",#REF!)</f>
        <v>#REF!</v>
      </c>
      <c r="AR204" s="973" t="e">
        <f>IF(#REF!="","",#REF!)</f>
        <v>#REF!</v>
      </c>
      <c r="AS204" s="974" t="e">
        <f>IF(#REF!="","",#REF!)</f>
        <v>#REF!</v>
      </c>
      <c r="AT204" s="975" t="e">
        <f>IF(#REF!="","",#REF!)</f>
        <v>#REF!</v>
      </c>
      <c r="AU204" s="976" t="e">
        <f>IF(#REF!="","",#REF!)</f>
        <v>#REF!</v>
      </c>
      <c r="AV204" s="977" t="e">
        <f>IF(#REF!="","",#REF!)</f>
        <v>#REF!</v>
      </c>
      <c r="AW204" s="1040" t="e">
        <f>IF(#REF!="","",#REF!)</f>
        <v>#REF!</v>
      </c>
      <c r="AX204" s="987" t="e">
        <f>IF(#REF!="","",#REF!)</f>
        <v>#REF!</v>
      </c>
    </row>
    <row r="205" spans="38:50">
      <c r="AL205" s="1035" t="e">
        <f>IF(#REF!="","",#REF!)</f>
        <v>#REF!</v>
      </c>
      <c r="AM205" s="1036" t="e">
        <f>IF(#REF!="","",#REF!)</f>
        <v>#REF!</v>
      </c>
      <c r="AN205" s="1037" t="e">
        <f>IF(AND(#REF!="",#REF!=1),"",#REF!)</f>
        <v>#REF!</v>
      </c>
      <c r="AO205" s="1038" t="e">
        <f>IF(#REF!="","",#REF!)</f>
        <v>#REF!</v>
      </c>
      <c r="AP205" s="971" t="e">
        <f>IF(#REF!="","",#REF!)</f>
        <v>#REF!</v>
      </c>
      <c r="AQ205" s="1039" t="e">
        <f>IF(#REF!="","",#REF!)</f>
        <v>#REF!</v>
      </c>
      <c r="AR205" s="973" t="e">
        <f>IF(#REF!="","",#REF!)</f>
        <v>#REF!</v>
      </c>
      <c r="AS205" s="974" t="e">
        <f>IF(#REF!="","",#REF!)</f>
        <v>#REF!</v>
      </c>
      <c r="AT205" s="975" t="e">
        <f>IF(#REF!="","",#REF!)</f>
        <v>#REF!</v>
      </c>
      <c r="AU205" s="976" t="e">
        <f>IF(#REF!="","",#REF!)</f>
        <v>#REF!</v>
      </c>
      <c r="AV205" s="977" t="e">
        <f>IF(#REF!="","",#REF!)</f>
        <v>#REF!</v>
      </c>
      <c r="AW205" s="1040" t="e">
        <f>IF(#REF!="","",#REF!)</f>
        <v>#REF!</v>
      </c>
      <c r="AX205" s="987" t="e">
        <f>IF(#REF!="","",#REF!)</f>
        <v>#REF!</v>
      </c>
    </row>
    <row r="206" spans="38:50">
      <c r="AL206" s="1035" t="e">
        <f>IF(#REF!="","",#REF!)</f>
        <v>#REF!</v>
      </c>
      <c r="AM206" s="1036" t="e">
        <f>IF(#REF!="","",#REF!)</f>
        <v>#REF!</v>
      </c>
      <c r="AN206" s="1037" t="e">
        <f>IF(AND(#REF!="",#REF!=1),"",#REF!)</f>
        <v>#REF!</v>
      </c>
      <c r="AO206" s="1038" t="e">
        <f>IF(#REF!="","",#REF!)</f>
        <v>#REF!</v>
      </c>
      <c r="AP206" s="971" t="e">
        <f>IF(#REF!="","",#REF!)</f>
        <v>#REF!</v>
      </c>
      <c r="AQ206" s="1039" t="e">
        <f>IF(#REF!="","",#REF!)</f>
        <v>#REF!</v>
      </c>
      <c r="AR206" s="973" t="e">
        <f>IF(#REF!="","",#REF!)</f>
        <v>#REF!</v>
      </c>
      <c r="AS206" s="974" t="e">
        <f>IF(#REF!="","",#REF!)</f>
        <v>#REF!</v>
      </c>
      <c r="AT206" s="975" t="e">
        <f>IF(#REF!="","",#REF!)</f>
        <v>#REF!</v>
      </c>
      <c r="AU206" s="976" t="e">
        <f>IF(#REF!="","",#REF!)</f>
        <v>#REF!</v>
      </c>
      <c r="AV206" s="977" t="e">
        <f>IF(#REF!="","",#REF!)</f>
        <v>#REF!</v>
      </c>
      <c r="AW206" s="1040" t="e">
        <f>IF(#REF!="","",#REF!)</f>
        <v>#REF!</v>
      </c>
      <c r="AX206" s="987" t="e">
        <f>IF(#REF!="","",#REF!)</f>
        <v>#REF!</v>
      </c>
    </row>
    <row r="207" spans="38:50">
      <c r="AL207" s="1035" t="e">
        <f>IF(#REF!="","",#REF!)</f>
        <v>#REF!</v>
      </c>
      <c r="AM207" s="1036" t="e">
        <f>IF(#REF!="","",#REF!)</f>
        <v>#REF!</v>
      </c>
      <c r="AN207" s="1037" t="e">
        <f>IF(AND(#REF!="",#REF!=1),"",#REF!)</f>
        <v>#REF!</v>
      </c>
      <c r="AO207" s="1038" t="e">
        <f>IF(#REF!="","",#REF!)</f>
        <v>#REF!</v>
      </c>
      <c r="AP207" s="971" t="e">
        <f>IF(#REF!="","",#REF!)</f>
        <v>#REF!</v>
      </c>
      <c r="AQ207" s="1039" t="e">
        <f>IF(#REF!="","",#REF!)</f>
        <v>#REF!</v>
      </c>
      <c r="AR207" s="973" t="e">
        <f>IF(#REF!="","",#REF!)</f>
        <v>#REF!</v>
      </c>
      <c r="AS207" s="974" t="e">
        <f>IF(#REF!="","",#REF!)</f>
        <v>#REF!</v>
      </c>
      <c r="AT207" s="975" t="e">
        <f>IF(#REF!="","",#REF!)</f>
        <v>#REF!</v>
      </c>
      <c r="AU207" s="976" t="e">
        <f>IF(#REF!="","",#REF!)</f>
        <v>#REF!</v>
      </c>
      <c r="AV207" s="977" t="e">
        <f>IF(#REF!="","",#REF!)</f>
        <v>#REF!</v>
      </c>
      <c r="AW207" s="1040" t="e">
        <f>IF(#REF!="","",#REF!)</f>
        <v>#REF!</v>
      </c>
      <c r="AX207" s="987" t="e">
        <f>IF(#REF!="","",#REF!)</f>
        <v>#REF!</v>
      </c>
    </row>
    <row r="208" spans="38:50">
      <c r="AL208" s="1035" t="e">
        <f>IF(#REF!="","",#REF!)</f>
        <v>#REF!</v>
      </c>
      <c r="AM208" s="1036" t="e">
        <f>IF(#REF!="","",#REF!)</f>
        <v>#REF!</v>
      </c>
      <c r="AN208" s="1037" t="e">
        <f>IF(AND(#REF!="",#REF!=1),"",#REF!)</f>
        <v>#REF!</v>
      </c>
      <c r="AO208" s="1038" t="e">
        <f>IF(#REF!="","",#REF!)</f>
        <v>#REF!</v>
      </c>
      <c r="AP208" s="971" t="e">
        <f>IF(#REF!="","",#REF!)</f>
        <v>#REF!</v>
      </c>
      <c r="AQ208" s="1039" t="e">
        <f>IF(#REF!="","",#REF!)</f>
        <v>#REF!</v>
      </c>
      <c r="AR208" s="973" t="e">
        <f>IF(#REF!="","",#REF!)</f>
        <v>#REF!</v>
      </c>
      <c r="AS208" s="974" t="e">
        <f>IF(#REF!="","",#REF!)</f>
        <v>#REF!</v>
      </c>
      <c r="AT208" s="975" t="e">
        <f>IF(#REF!="","",#REF!)</f>
        <v>#REF!</v>
      </c>
      <c r="AU208" s="976" t="e">
        <f>IF(#REF!="","",#REF!)</f>
        <v>#REF!</v>
      </c>
      <c r="AV208" s="977" t="e">
        <f>IF(#REF!="","",#REF!)</f>
        <v>#REF!</v>
      </c>
      <c r="AW208" s="1040" t="e">
        <f>IF(#REF!="","",#REF!)</f>
        <v>#REF!</v>
      </c>
      <c r="AX208" s="987" t="e">
        <f>IF(#REF!="","",#REF!)</f>
        <v>#REF!</v>
      </c>
    </row>
    <row r="209" spans="38:50">
      <c r="AL209" s="1035" t="e">
        <f>IF(#REF!="","",#REF!)</f>
        <v>#REF!</v>
      </c>
      <c r="AM209" s="1036" t="e">
        <f>IF(#REF!="","",#REF!)</f>
        <v>#REF!</v>
      </c>
      <c r="AN209" s="1037" t="e">
        <f>IF(AND(#REF!="",#REF!=1),"",#REF!)</f>
        <v>#REF!</v>
      </c>
      <c r="AO209" s="1038" t="e">
        <f>IF(#REF!="","",#REF!)</f>
        <v>#REF!</v>
      </c>
      <c r="AP209" s="971" t="e">
        <f>IF(#REF!="","",#REF!)</f>
        <v>#REF!</v>
      </c>
      <c r="AQ209" s="1039" t="e">
        <f>IF(#REF!="","",#REF!)</f>
        <v>#REF!</v>
      </c>
      <c r="AR209" s="973" t="e">
        <f>IF(#REF!="","",#REF!)</f>
        <v>#REF!</v>
      </c>
      <c r="AS209" s="974" t="e">
        <f>IF(#REF!="","",#REF!)</f>
        <v>#REF!</v>
      </c>
      <c r="AT209" s="975" t="e">
        <f>IF(#REF!="","",#REF!)</f>
        <v>#REF!</v>
      </c>
      <c r="AU209" s="976" t="e">
        <f>IF(#REF!="","",#REF!)</f>
        <v>#REF!</v>
      </c>
      <c r="AV209" s="977" t="e">
        <f>IF(#REF!="","",#REF!)</f>
        <v>#REF!</v>
      </c>
      <c r="AW209" s="1040" t="e">
        <f>IF(#REF!="","",#REF!)</f>
        <v>#REF!</v>
      </c>
      <c r="AX209" s="987" t="e">
        <f>IF(#REF!="","",#REF!)</f>
        <v>#REF!</v>
      </c>
    </row>
    <row r="210" spans="38:50">
      <c r="AL210" s="1035" t="e">
        <f>IF(#REF!="","",#REF!)</f>
        <v>#REF!</v>
      </c>
      <c r="AM210" s="1036" t="e">
        <f>IF(#REF!="","",#REF!)</f>
        <v>#REF!</v>
      </c>
      <c r="AN210" s="1037" t="e">
        <f>IF(AND(#REF!="",#REF!=1),"",#REF!)</f>
        <v>#REF!</v>
      </c>
      <c r="AO210" s="1038" t="e">
        <f>IF(#REF!="","",#REF!)</f>
        <v>#REF!</v>
      </c>
      <c r="AP210" s="971" t="e">
        <f>IF(#REF!="","",#REF!)</f>
        <v>#REF!</v>
      </c>
      <c r="AQ210" s="1039" t="e">
        <f>IF(#REF!="","",#REF!)</f>
        <v>#REF!</v>
      </c>
      <c r="AR210" s="973" t="e">
        <f>IF(#REF!="","",#REF!)</f>
        <v>#REF!</v>
      </c>
      <c r="AS210" s="974" t="e">
        <f>IF(#REF!="","",#REF!)</f>
        <v>#REF!</v>
      </c>
      <c r="AT210" s="975" t="e">
        <f>IF(#REF!="","",#REF!)</f>
        <v>#REF!</v>
      </c>
      <c r="AU210" s="976" t="e">
        <f>IF(#REF!="","",#REF!)</f>
        <v>#REF!</v>
      </c>
      <c r="AV210" s="977" t="e">
        <f>IF(#REF!="","",#REF!)</f>
        <v>#REF!</v>
      </c>
      <c r="AW210" s="1040" t="e">
        <f>IF(#REF!="","",#REF!)</f>
        <v>#REF!</v>
      </c>
      <c r="AX210" s="987" t="e">
        <f>IF(#REF!="","",#REF!)</f>
        <v>#REF!</v>
      </c>
    </row>
    <row r="211" spans="38:50">
      <c r="AL211" s="1035" t="e">
        <f>IF(#REF!="","",#REF!)</f>
        <v>#REF!</v>
      </c>
      <c r="AM211" s="1036" t="e">
        <f>IF(#REF!="","",#REF!)</f>
        <v>#REF!</v>
      </c>
      <c r="AN211" s="1037" t="e">
        <f>IF(AND(#REF!="",#REF!=1),"",#REF!)</f>
        <v>#REF!</v>
      </c>
      <c r="AO211" s="1038" t="e">
        <f>IF(#REF!="","",#REF!)</f>
        <v>#REF!</v>
      </c>
      <c r="AP211" s="971" t="e">
        <f>IF(#REF!="","",#REF!)</f>
        <v>#REF!</v>
      </c>
      <c r="AQ211" s="1039" t="e">
        <f>IF(#REF!="","",#REF!)</f>
        <v>#REF!</v>
      </c>
      <c r="AR211" s="973" t="e">
        <f>IF(#REF!="","",#REF!)</f>
        <v>#REF!</v>
      </c>
      <c r="AS211" s="974" t="e">
        <f>IF(#REF!="","",#REF!)</f>
        <v>#REF!</v>
      </c>
      <c r="AT211" s="975" t="e">
        <f>IF(#REF!="","",#REF!)</f>
        <v>#REF!</v>
      </c>
      <c r="AU211" s="976" t="e">
        <f>IF(#REF!="","",#REF!)</f>
        <v>#REF!</v>
      </c>
      <c r="AV211" s="977" t="e">
        <f>IF(#REF!="","",#REF!)</f>
        <v>#REF!</v>
      </c>
      <c r="AW211" s="1040" t="e">
        <f>IF(#REF!="","",#REF!)</f>
        <v>#REF!</v>
      </c>
      <c r="AX211" s="987" t="e">
        <f>IF(#REF!="","",#REF!)</f>
        <v>#REF!</v>
      </c>
    </row>
    <row r="212" spans="38:50">
      <c r="AL212" s="1035" t="e">
        <f>IF(#REF!="","",#REF!)</f>
        <v>#REF!</v>
      </c>
      <c r="AM212" s="1036" t="e">
        <f>IF(#REF!="","",#REF!)</f>
        <v>#REF!</v>
      </c>
      <c r="AN212" s="1037" t="e">
        <f>IF(AND(#REF!="",#REF!=1),"",#REF!)</f>
        <v>#REF!</v>
      </c>
      <c r="AO212" s="1038" t="e">
        <f>IF(#REF!="","",#REF!)</f>
        <v>#REF!</v>
      </c>
      <c r="AP212" s="971" t="e">
        <f>IF(#REF!="","",#REF!)</f>
        <v>#REF!</v>
      </c>
      <c r="AQ212" s="1039" t="e">
        <f>IF(#REF!="","",#REF!)</f>
        <v>#REF!</v>
      </c>
      <c r="AR212" s="973" t="e">
        <f>IF(#REF!="","",#REF!)</f>
        <v>#REF!</v>
      </c>
      <c r="AS212" s="974" t="e">
        <f>IF(#REF!="","",#REF!)</f>
        <v>#REF!</v>
      </c>
      <c r="AT212" s="975" t="e">
        <f>IF(#REF!="","",#REF!)</f>
        <v>#REF!</v>
      </c>
      <c r="AU212" s="976" t="e">
        <f>IF(#REF!="","",#REF!)</f>
        <v>#REF!</v>
      </c>
      <c r="AV212" s="977" t="e">
        <f>IF(#REF!="","",#REF!)</f>
        <v>#REF!</v>
      </c>
      <c r="AW212" s="1040" t="e">
        <f>IF(#REF!="","",#REF!)</f>
        <v>#REF!</v>
      </c>
      <c r="AX212" s="987" t="e">
        <f>IF(#REF!="","",#REF!)</f>
        <v>#REF!</v>
      </c>
    </row>
    <row r="213" spans="38:50">
      <c r="AL213" s="1035" t="e">
        <f>IF(#REF!="","",#REF!)</f>
        <v>#REF!</v>
      </c>
      <c r="AM213" s="1036" t="e">
        <f>IF(#REF!="","",#REF!)</f>
        <v>#REF!</v>
      </c>
      <c r="AN213" s="1037" t="e">
        <f>IF(AND(#REF!="",#REF!=1),"",#REF!)</f>
        <v>#REF!</v>
      </c>
      <c r="AO213" s="1038" t="e">
        <f>IF(#REF!="","",#REF!)</f>
        <v>#REF!</v>
      </c>
      <c r="AP213" s="971" t="e">
        <f>IF(#REF!="","",#REF!)</f>
        <v>#REF!</v>
      </c>
      <c r="AQ213" s="1039" t="e">
        <f>IF(#REF!="","",#REF!)</f>
        <v>#REF!</v>
      </c>
      <c r="AR213" s="973" t="e">
        <f>IF(#REF!="","",#REF!)</f>
        <v>#REF!</v>
      </c>
      <c r="AS213" s="974" t="e">
        <f>IF(#REF!="","",#REF!)</f>
        <v>#REF!</v>
      </c>
      <c r="AT213" s="975" t="e">
        <f>IF(#REF!="","",#REF!)</f>
        <v>#REF!</v>
      </c>
      <c r="AU213" s="976" t="e">
        <f>IF(#REF!="","",#REF!)</f>
        <v>#REF!</v>
      </c>
      <c r="AV213" s="977" t="e">
        <f>IF(#REF!="","",#REF!)</f>
        <v>#REF!</v>
      </c>
      <c r="AW213" s="1040" t="e">
        <f>IF(#REF!="","",#REF!)</f>
        <v>#REF!</v>
      </c>
      <c r="AX213" s="987" t="e">
        <f>IF(#REF!="","",#REF!)</f>
        <v>#REF!</v>
      </c>
    </row>
    <row r="214" spans="38:50">
      <c r="AL214" s="1035" t="e">
        <f>IF(#REF!="","",#REF!)</f>
        <v>#REF!</v>
      </c>
      <c r="AM214" s="1036" t="e">
        <f>IF(#REF!="","",#REF!)</f>
        <v>#REF!</v>
      </c>
      <c r="AN214" s="1037" t="e">
        <f>IF(AND(#REF!="",#REF!=1),"",#REF!)</f>
        <v>#REF!</v>
      </c>
      <c r="AO214" s="1038" t="e">
        <f>IF(#REF!="","",#REF!)</f>
        <v>#REF!</v>
      </c>
      <c r="AP214" s="971" t="e">
        <f>IF(#REF!="","",#REF!)</f>
        <v>#REF!</v>
      </c>
      <c r="AQ214" s="1039" t="e">
        <f>IF(#REF!="","",#REF!)</f>
        <v>#REF!</v>
      </c>
      <c r="AR214" s="973" t="e">
        <f>IF(#REF!="","",#REF!)</f>
        <v>#REF!</v>
      </c>
      <c r="AS214" s="974" t="e">
        <f>IF(#REF!="","",#REF!)</f>
        <v>#REF!</v>
      </c>
      <c r="AT214" s="975" t="e">
        <f>IF(#REF!="","",#REF!)</f>
        <v>#REF!</v>
      </c>
      <c r="AU214" s="976" t="e">
        <f>IF(#REF!="","",#REF!)</f>
        <v>#REF!</v>
      </c>
      <c r="AV214" s="977" t="e">
        <f>IF(#REF!="","",#REF!)</f>
        <v>#REF!</v>
      </c>
      <c r="AW214" s="1040" t="e">
        <f>IF(#REF!="","",#REF!)</f>
        <v>#REF!</v>
      </c>
      <c r="AX214" s="987" t="e">
        <f>IF(#REF!="","",#REF!)</f>
        <v>#REF!</v>
      </c>
    </row>
    <row r="215" spans="38:50">
      <c r="AL215" s="1035" t="e">
        <f>IF(#REF!="","",#REF!)</f>
        <v>#REF!</v>
      </c>
      <c r="AM215" s="1036" t="e">
        <f>IF(#REF!="","",#REF!)</f>
        <v>#REF!</v>
      </c>
      <c r="AN215" s="1037" t="e">
        <f>IF(AND(#REF!="",#REF!=1),"",#REF!)</f>
        <v>#REF!</v>
      </c>
      <c r="AO215" s="1038" t="e">
        <f>IF(#REF!="","",#REF!)</f>
        <v>#REF!</v>
      </c>
      <c r="AP215" s="971" t="e">
        <f>IF(#REF!="","",#REF!)</f>
        <v>#REF!</v>
      </c>
      <c r="AQ215" s="1039" t="e">
        <f>IF(#REF!="","",#REF!)</f>
        <v>#REF!</v>
      </c>
      <c r="AR215" s="973" t="e">
        <f>IF(#REF!="","",#REF!)</f>
        <v>#REF!</v>
      </c>
      <c r="AS215" s="974" t="e">
        <f>IF(#REF!="","",#REF!)</f>
        <v>#REF!</v>
      </c>
      <c r="AT215" s="975" t="e">
        <f>IF(#REF!="","",#REF!)</f>
        <v>#REF!</v>
      </c>
      <c r="AU215" s="976" t="e">
        <f>IF(#REF!="","",#REF!)</f>
        <v>#REF!</v>
      </c>
      <c r="AV215" s="977" t="e">
        <f>IF(#REF!="","",#REF!)</f>
        <v>#REF!</v>
      </c>
      <c r="AW215" s="1040" t="e">
        <f>IF(#REF!="","",#REF!)</f>
        <v>#REF!</v>
      </c>
      <c r="AX215" s="987" t="e">
        <f>IF(#REF!="","",#REF!)</f>
        <v>#REF!</v>
      </c>
    </row>
    <row r="216" spans="38:50">
      <c r="AL216" s="1035" t="e">
        <f>IF(#REF!="","",#REF!)</f>
        <v>#REF!</v>
      </c>
      <c r="AM216" s="1036" t="e">
        <f>IF(#REF!="","",#REF!)</f>
        <v>#REF!</v>
      </c>
      <c r="AN216" s="1037" t="e">
        <f>IF(AND(#REF!="",#REF!=1),"",#REF!)</f>
        <v>#REF!</v>
      </c>
      <c r="AO216" s="1038" t="e">
        <f>IF(#REF!="","",#REF!)</f>
        <v>#REF!</v>
      </c>
      <c r="AP216" s="971" t="e">
        <f>IF(#REF!="","",#REF!)</f>
        <v>#REF!</v>
      </c>
      <c r="AQ216" s="1039" t="e">
        <f>IF(#REF!="","",#REF!)</f>
        <v>#REF!</v>
      </c>
      <c r="AR216" s="973" t="e">
        <f>IF(#REF!="","",#REF!)</f>
        <v>#REF!</v>
      </c>
      <c r="AS216" s="974" t="e">
        <f>IF(#REF!="","",#REF!)</f>
        <v>#REF!</v>
      </c>
      <c r="AT216" s="975" t="e">
        <f>IF(#REF!="","",#REF!)</f>
        <v>#REF!</v>
      </c>
      <c r="AU216" s="976" t="e">
        <f>IF(#REF!="","",#REF!)</f>
        <v>#REF!</v>
      </c>
      <c r="AV216" s="977" t="e">
        <f>IF(#REF!="","",#REF!)</f>
        <v>#REF!</v>
      </c>
      <c r="AW216" s="1040" t="e">
        <f>IF(#REF!="","",#REF!)</f>
        <v>#REF!</v>
      </c>
      <c r="AX216" s="987" t="e">
        <f>IF(#REF!="","",#REF!)</f>
        <v>#REF!</v>
      </c>
    </row>
    <row r="217" spans="38:50">
      <c r="AL217" s="1035" t="e">
        <f>IF(#REF!="","",#REF!)</f>
        <v>#REF!</v>
      </c>
      <c r="AM217" s="1036" t="e">
        <f>IF(#REF!="","",#REF!)</f>
        <v>#REF!</v>
      </c>
      <c r="AN217" s="1037" t="e">
        <f>IF(AND(#REF!="",#REF!=1),"",#REF!)</f>
        <v>#REF!</v>
      </c>
      <c r="AO217" s="1038" t="e">
        <f>IF(#REF!="","",#REF!)</f>
        <v>#REF!</v>
      </c>
      <c r="AP217" s="971" t="e">
        <f>IF(#REF!="","",#REF!)</f>
        <v>#REF!</v>
      </c>
      <c r="AQ217" s="1039" t="e">
        <f>IF(#REF!="","",#REF!)</f>
        <v>#REF!</v>
      </c>
      <c r="AR217" s="973" t="e">
        <f>IF(#REF!="","",#REF!)</f>
        <v>#REF!</v>
      </c>
      <c r="AS217" s="974" t="e">
        <f>IF(#REF!="","",#REF!)</f>
        <v>#REF!</v>
      </c>
      <c r="AT217" s="975" t="e">
        <f>IF(#REF!="","",#REF!)</f>
        <v>#REF!</v>
      </c>
      <c r="AU217" s="976" t="e">
        <f>IF(#REF!="","",#REF!)</f>
        <v>#REF!</v>
      </c>
      <c r="AV217" s="977" t="e">
        <f>IF(#REF!="","",#REF!)</f>
        <v>#REF!</v>
      </c>
      <c r="AW217" s="1040" t="e">
        <f>IF(#REF!="","",#REF!)</f>
        <v>#REF!</v>
      </c>
      <c r="AX217" s="987" t="e">
        <f>IF(#REF!="","",#REF!)</f>
        <v>#REF!</v>
      </c>
    </row>
    <row r="218" spans="38:50">
      <c r="AL218" s="1035" t="e">
        <f>IF(#REF!="","",#REF!)</f>
        <v>#REF!</v>
      </c>
      <c r="AM218" s="1036" t="e">
        <f>IF(#REF!="","",#REF!)</f>
        <v>#REF!</v>
      </c>
      <c r="AN218" s="1037" t="e">
        <f>IF(AND(#REF!="",#REF!=1),"",#REF!)</f>
        <v>#REF!</v>
      </c>
      <c r="AO218" s="1038" t="e">
        <f>IF(#REF!="","",#REF!)</f>
        <v>#REF!</v>
      </c>
      <c r="AP218" s="971" t="e">
        <f>IF(#REF!="","",#REF!)</f>
        <v>#REF!</v>
      </c>
      <c r="AQ218" s="1039" t="e">
        <f>IF(#REF!="","",#REF!)</f>
        <v>#REF!</v>
      </c>
      <c r="AR218" s="973" t="e">
        <f>IF(#REF!="","",#REF!)</f>
        <v>#REF!</v>
      </c>
      <c r="AS218" s="974" t="e">
        <f>IF(#REF!="","",#REF!)</f>
        <v>#REF!</v>
      </c>
      <c r="AT218" s="975" t="e">
        <f>IF(#REF!="","",#REF!)</f>
        <v>#REF!</v>
      </c>
      <c r="AU218" s="976" t="e">
        <f>IF(#REF!="","",#REF!)</f>
        <v>#REF!</v>
      </c>
      <c r="AV218" s="977" t="e">
        <f>IF(#REF!="","",#REF!)</f>
        <v>#REF!</v>
      </c>
      <c r="AW218" s="1040" t="e">
        <f>IF(#REF!="","",#REF!)</f>
        <v>#REF!</v>
      </c>
      <c r="AX218" s="987" t="e">
        <f>IF(#REF!="","",#REF!)</f>
        <v>#REF!</v>
      </c>
    </row>
    <row r="219" spans="38:50">
      <c r="AL219" s="1035" t="e">
        <f>IF(#REF!="","",#REF!)</f>
        <v>#REF!</v>
      </c>
      <c r="AM219" s="1036" t="e">
        <f>IF(#REF!="","",#REF!)</f>
        <v>#REF!</v>
      </c>
      <c r="AN219" s="1037" t="e">
        <f>IF(AND(#REF!="",#REF!=1),"",#REF!)</f>
        <v>#REF!</v>
      </c>
      <c r="AO219" s="1038" t="e">
        <f>IF(#REF!="","",#REF!)</f>
        <v>#REF!</v>
      </c>
      <c r="AP219" s="971" t="e">
        <f>IF(#REF!="","",#REF!)</f>
        <v>#REF!</v>
      </c>
      <c r="AQ219" s="1039" t="e">
        <f>IF(#REF!="","",#REF!)</f>
        <v>#REF!</v>
      </c>
      <c r="AR219" s="973" t="e">
        <f>IF(#REF!="","",#REF!)</f>
        <v>#REF!</v>
      </c>
      <c r="AS219" s="974" t="e">
        <f>IF(#REF!="","",#REF!)</f>
        <v>#REF!</v>
      </c>
      <c r="AT219" s="975" t="e">
        <f>IF(#REF!="","",#REF!)</f>
        <v>#REF!</v>
      </c>
      <c r="AU219" s="976" t="e">
        <f>IF(#REF!="","",#REF!)</f>
        <v>#REF!</v>
      </c>
      <c r="AV219" s="977" t="e">
        <f>IF(#REF!="","",#REF!)</f>
        <v>#REF!</v>
      </c>
      <c r="AW219" s="1040" t="e">
        <f>IF(#REF!="","",#REF!)</f>
        <v>#REF!</v>
      </c>
      <c r="AX219" s="987" t="e">
        <f>IF(#REF!="","",#REF!)</f>
        <v>#REF!</v>
      </c>
    </row>
    <row r="220" spans="38:50">
      <c r="AL220" s="1035" t="e">
        <f>IF(#REF!="","",#REF!)</f>
        <v>#REF!</v>
      </c>
      <c r="AM220" s="1036" t="e">
        <f>IF(#REF!="","",#REF!)</f>
        <v>#REF!</v>
      </c>
      <c r="AN220" s="1037" t="e">
        <f>IF(AND(#REF!="",#REF!=1),"",#REF!)</f>
        <v>#REF!</v>
      </c>
      <c r="AO220" s="1038" t="e">
        <f>IF(#REF!="","",#REF!)</f>
        <v>#REF!</v>
      </c>
      <c r="AP220" s="971" t="e">
        <f>IF(#REF!="","",#REF!)</f>
        <v>#REF!</v>
      </c>
      <c r="AQ220" s="1039" t="e">
        <f>IF(#REF!="","",#REF!)</f>
        <v>#REF!</v>
      </c>
      <c r="AR220" s="973" t="e">
        <f>IF(#REF!="","",#REF!)</f>
        <v>#REF!</v>
      </c>
      <c r="AS220" s="974" t="e">
        <f>IF(#REF!="","",#REF!)</f>
        <v>#REF!</v>
      </c>
      <c r="AT220" s="975" t="e">
        <f>IF(#REF!="","",#REF!)</f>
        <v>#REF!</v>
      </c>
      <c r="AU220" s="976" t="e">
        <f>IF(#REF!="","",#REF!)</f>
        <v>#REF!</v>
      </c>
      <c r="AV220" s="977" t="e">
        <f>IF(#REF!="","",#REF!)</f>
        <v>#REF!</v>
      </c>
      <c r="AW220" s="1040" t="e">
        <f>IF(#REF!="","",#REF!)</f>
        <v>#REF!</v>
      </c>
      <c r="AX220" s="987" t="e">
        <f>IF(#REF!="","",#REF!)</f>
        <v>#REF!</v>
      </c>
    </row>
    <row r="221" spans="38:50">
      <c r="AL221" s="1035" t="e">
        <f>IF(#REF!="","",#REF!)</f>
        <v>#REF!</v>
      </c>
      <c r="AM221" s="1036" t="e">
        <f>IF(#REF!="","",#REF!)</f>
        <v>#REF!</v>
      </c>
      <c r="AN221" s="1037" t="e">
        <f>IF(AND(#REF!="",#REF!=1),"",#REF!)</f>
        <v>#REF!</v>
      </c>
      <c r="AO221" s="1038" t="e">
        <f>IF(#REF!="","",#REF!)</f>
        <v>#REF!</v>
      </c>
      <c r="AP221" s="971" t="e">
        <f>IF(#REF!="","",#REF!)</f>
        <v>#REF!</v>
      </c>
      <c r="AQ221" s="1039" t="e">
        <f>IF(#REF!="","",#REF!)</f>
        <v>#REF!</v>
      </c>
      <c r="AR221" s="973" t="e">
        <f>IF(#REF!="","",#REF!)</f>
        <v>#REF!</v>
      </c>
      <c r="AS221" s="974" t="e">
        <f>IF(#REF!="","",#REF!)</f>
        <v>#REF!</v>
      </c>
      <c r="AT221" s="975" t="e">
        <f>IF(#REF!="","",#REF!)</f>
        <v>#REF!</v>
      </c>
      <c r="AU221" s="976" t="e">
        <f>IF(#REF!="","",#REF!)</f>
        <v>#REF!</v>
      </c>
      <c r="AV221" s="977" t="e">
        <f>IF(#REF!="","",#REF!)</f>
        <v>#REF!</v>
      </c>
      <c r="AW221" s="1040" t="e">
        <f>IF(#REF!="","",#REF!)</f>
        <v>#REF!</v>
      </c>
      <c r="AX221" s="987" t="e">
        <f>IF(#REF!="","",#REF!)</f>
        <v>#REF!</v>
      </c>
    </row>
    <row r="222" spans="38:50">
      <c r="AL222" s="1035" t="e">
        <f>IF(#REF!="","",#REF!)</f>
        <v>#REF!</v>
      </c>
      <c r="AM222" s="1036" t="e">
        <f>IF(#REF!="","",#REF!)</f>
        <v>#REF!</v>
      </c>
      <c r="AN222" s="1037" t="e">
        <f>IF(AND(#REF!="",#REF!=1),"",#REF!)</f>
        <v>#REF!</v>
      </c>
      <c r="AO222" s="1038" t="e">
        <f>IF(#REF!="","",#REF!)</f>
        <v>#REF!</v>
      </c>
      <c r="AP222" s="971" t="e">
        <f>IF(#REF!="","",#REF!)</f>
        <v>#REF!</v>
      </c>
      <c r="AQ222" s="1039" t="e">
        <f>IF(#REF!="","",#REF!)</f>
        <v>#REF!</v>
      </c>
      <c r="AR222" s="973" t="e">
        <f>IF(#REF!="","",#REF!)</f>
        <v>#REF!</v>
      </c>
      <c r="AS222" s="974" t="e">
        <f>IF(#REF!="","",#REF!)</f>
        <v>#REF!</v>
      </c>
      <c r="AT222" s="975" t="e">
        <f>IF(#REF!="","",#REF!)</f>
        <v>#REF!</v>
      </c>
      <c r="AU222" s="976" t="e">
        <f>IF(#REF!="","",#REF!)</f>
        <v>#REF!</v>
      </c>
      <c r="AV222" s="977" t="e">
        <f>IF(#REF!="","",#REF!)</f>
        <v>#REF!</v>
      </c>
      <c r="AW222" s="1040" t="e">
        <f>IF(#REF!="","",#REF!)</f>
        <v>#REF!</v>
      </c>
      <c r="AX222" s="987" t="e">
        <f>IF(#REF!="","",#REF!)</f>
        <v>#REF!</v>
      </c>
    </row>
    <row r="223" spans="38:50">
      <c r="AL223" s="1035" t="e">
        <f>IF(#REF!="","",#REF!)</f>
        <v>#REF!</v>
      </c>
      <c r="AM223" s="1036" t="e">
        <f>IF(#REF!="","",#REF!)</f>
        <v>#REF!</v>
      </c>
      <c r="AN223" s="1037" t="e">
        <f>IF(AND(#REF!="",#REF!=1),"",#REF!)</f>
        <v>#REF!</v>
      </c>
      <c r="AO223" s="1038" t="e">
        <f>IF(#REF!="","",#REF!)</f>
        <v>#REF!</v>
      </c>
      <c r="AP223" s="971" t="e">
        <f>IF(#REF!="","",#REF!)</f>
        <v>#REF!</v>
      </c>
      <c r="AQ223" s="1039" t="e">
        <f>IF(#REF!="","",#REF!)</f>
        <v>#REF!</v>
      </c>
      <c r="AR223" s="973" t="e">
        <f>IF(#REF!="","",#REF!)</f>
        <v>#REF!</v>
      </c>
      <c r="AS223" s="974" t="e">
        <f>IF(#REF!="","",#REF!)</f>
        <v>#REF!</v>
      </c>
      <c r="AT223" s="975" t="e">
        <f>IF(#REF!="","",#REF!)</f>
        <v>#REF!</v>
      </c>
      <c r="AU223" s="976" t="e">
        <f>IF(#REF!="","",#REF!)</f>
        <v>#REF!</v>
      </c>
      <c r="AV223" s="977" t="e">
        <f>IF(#REF!="","",#REF!)</f>
        <v>#REF!</v>
      </c>
      <c r="AW223" s="1040" t="e">
        <f>IF(#REF!="","",#REF!)</f>
        <v>#REF!</v>
      </c>
      <c r="AX223" s="987" t="e">
        <f>IF(#REF!="","",#REF!)</f>
        <v>#REF!</v>
      </c>
    </row>
    <row r="224" spans="38:50">
      <c r="AL224" s="1035" t="e">
        <f>IF(#REF!="","",#REF!)</f>
        <v>#REF!</v>
      </c>
      <c r="AM224" s="1036" t="e">
        <f>IF(#REF!="","",#REF!)</f>
        <v>#REF!</v>
      </c>
      <c r="AN224" s="1037" t="e">
        <f>IF(AND(#REF!="",#REF!=1),"",#REF!)</f>
        <v>#REF!</v>
      </c>
      <c r="AO224" s="1038" t="e">
        <f>IF(#REF!="","",#REF!)</f>
        <v>#REF!</v>
      </c>
      <c r="AP224" s="971" t="e">
        <f>IF(#REF!="","",#REF!)</f>
        <v>#REF!</v>
      </c>
      <c r="AQ224" s="1039" t="e">
        <f>IF(#REF!="","",#REF!)</f>
        <v>#REF!</v>
      </c>
      <c r="AR224" s="973" t="e">
        <f>IF(#REF!="","",#REF!)</f>
        <v>#REF!</v>
      </c>
      <c r="AS224" s="974" t="e">
        <f>IF(#REF!="","",#REF!)</f>
        <v>#REF!</v>
      </c>
      <c r="AT224" s="975" t="e">
        <f>IF(#REF!="","",#REF!)</f>
        <v>#REF!</v>
      </c>
      <c r="AU224" s="976" t="e">
        <f>IF(#REF!="","",#REF!)</f>
        <v>#REF!</v>
      </c>
      <c r="AV224" s="977" t="e">
        <f>IF(#REF!="","",#REF!)</f>
        <v>#REF!</v>
      </c>
      <c r="AW224" s="1040" t="e">
        <f>IF(#REF!="","",#REF!)</f>
        <v>#REF!</v>
      </c>
      <c r="AX224" s="987" t="e">
        <f>IF(#REF!="","",#REF!)</f>
        <v>#REF!</v>
      </c>
    </row>
    <row r="225" spans="38:50">
      <c r="AL225" s="1035" t="e">
        <f>IF(#REF!="","",#REF!)</f>
        <v>#REF!</v>
      </c>
      <c r="AM225" s="1036" t="e">
        <f>IF(#REF!="","",#REF!)</f>
        <v>#REF!</v>
      </c>
      <c r="AN225" s="1037" t="e">
        <f>IF(AND(#REF!="",#REF!=1),"",#REF!)</f>
        <v>#REF!</v>
      </c>
      <c r="AO225" s="1038" t="e">
        <f>IF(#REF!="","",#REF!)</f>
        <v>#REF!</v>
      </c>
      <c r="AP225" s="971" t="e">
        <f>IF(#REF!="","",#REF!)</f>
        <v>#REF!</v>
      </c>
      <c r="AQ225" s="1039" t="e">
        <f>IF(#REF!="","",#REF!)</f>
        <v>#REF!</v>
      </c>
      <c r="AR225" s="973" t="e">
        <f>IF(#REF!="","",#REF!)</f>
        <v>#REF!</v>
      </c>
      <c r="AS225" s="974" t="e">
        <f>IF(#REF!="","",#REF!)</f>
        <v>#REF!</v>
      </c>
      <c r="AT225" s="975" t="e">
        <f>IF(#REF!="","",#REF!)</f>
        <v>#REF!</v>
      </c>
      <c r="AU225" s="976" t="e">
        <f>IF(#REF!="","",#REF!)</f>
        <v>#REF!</v>
      </c>
      <c r="AV225" s="977" t="e">
        <f>IF(#REF!="","",#REF!)</f>
        <v>#REF!</v>
      </c>
      <c r="AW225" s="1040" t="e">
        <f>IF(#REF!="","",#REF!)</f>
        <v>#REF!</v>
      </c>
      <c r="AX225" s="987" t="e">
        <f>IF(#REF!="","",#REF!)</f>
        <v>#REF!</v>
      </c>
    </row>
    <row r="226" spans="38:50">
      <c r="AL226" s="1035" t="e">
        <f>IF(#REF!="","",#REF!)</f>
        <v>#REF!</v>
      </c>
      <c r="AM226" s="1036" t="e">
        <f>IF(#REF!="","",#REF!)</f>
        <v>#REF!</v>
      </c>
      <c r="AN226" s="1037" t="e">
        <f>IF(AND(#REF!="",#REF!=1),"",#REF!)</f>
        <v>#REF!</v>
      </c>
      <c r="AO226" s="1038" t="e">
        <f>IF(#REF!="","",#REF!)</f>
        <v>#REF!</v>
      </c>
      <c r="AP226" s="971" t="e">
        <f>IF(#REF!="","",#REF!)</f>
        <v>#REF!</v>
      </c>
      <c r="AQ226" s="1039" t="e">
        <f>IF(#REF!="","",#REF!)</f>
        <v>#REF!</v>
      </c>
      <c r="AR226" s="973" t="e">
        <f>IF(#REF!="","",#REF!)</f>
        <v>#REF!</v>
      </c>
      <c r="AS226" s="974" t="e">
        <f>IF(#REF!="","",#REF!)</f>
        <v>#REF!</v>
      </c>
      <c r="AT226" s="975" t="e">
        <f>IF(#REF!="","",#REF!)</f>
        <v>#REF!</v>
      </c>
      <c r="AU226" s="976" t="e">
        <f>IF(#REF!="","",#REF!)</f>
        <v>#REF!</v>
      </c>
      <c r="AV226" s="977" t="e">
        <f>IF(#REF!="","",#REF!)</f>
        <v>#REF!</v>
      </c>
      <c r="AW226" s="1040" t="e">
        <f>IF(#REF!="","",#REF!)</f>
        <v>#REF!</v>
      </c>
      <c r="AX226" s="987" t="e">
        <f>IF(#REF!="","",#REF!)</f>
        <v>#REF!</v>
      </c>
    </row>
    <row r="227" spans="38:50">
      <c r="AL227" s="1035" t="e">
        <f>IF(#REF!="","",#REF!)</f>
        <v>#REF!</v>
      </c>
      <c r="AM227" s="1036" t="e">
        <f>IF(#REF!="","",#REF!)</f>
        <v>#REF!</v>
      </c>
      <c r="AN227" s="1037" t="e">
        <f>IF(AND(#REF!="",#REF!=1),"",#REF!)</f>
        <v>#REF!</v>
      </c>
      <c r="AO227" s="1038" t="e">
        <f>IF(#REF!="","",#REF!)</f>
        <v>#REF!</v>
      </c>
      <c r="AP227" s="971" t="e">
        <f>IF(#REF!="","",#REF!)</f>
        <v>#REF!</v>
      </c>
      <c r="AQ227" s="1039" t="e">
        <f>IF(#REF!="","",#REF!)</f>
        <v>#REF!</v>
      </c>
      <c r="AR227" s="973" t="e">
        <f>IF(#REF!="","",#REF!)</f>
        <v>#REF!</v>
      </c>
      <c r="AS227" s="974" t="e">
        <f>IF(#REF!="","",#REF!)</f>
        <v>#REF!</v>
      </c>
      <c r="AT227" s="975" t="e">
        <f>IF(#REF!="","",#REF!)</f>
        <v>#REF!</v>
      </c>
      <c r="AU227" s="976" t="e">
        <f>IF(#REF!="","",#REF!)</f>
        <v>#REF!</v>
      </c>
      <c r="AV227" s="977" t="e">
        <f>IF(#REF!="","",#REF!)</f>
        <v>#REF!</v>
      </c>
      <c r="AW227" s="1040" t="e">
        <f>IF(#REF!="","",#REF!)</f>
        <v>#REF!</v>
      </c>
      <c r="AX227" s="987" t="e">
        <f>IF(#REF!="","",#REF!)</f>
        <v>#REF!</v>
      </c>
    </row>
    <row r="228" spans="38:50">
      <c r="AL228" s="1035" t="e">
        <f>IF(#REF!="","",#REF!)</f>
        <v>#REF!</v>
      </c>
      <c r="AM228" s="1036" t="e">
        <f>IF(#REF!="","",#REF!)</f>
        <v>#REF!</v>
      </c>
      <c r="AN228" s="1037" t="e">
        <f>IF(AND(#REF!="",#REF!=1),"",#REF!)</f>
        <v>#REF!</v>
      </c>
      <c r="AO228" s="1038" t="e">
        <f>IF(#REF!="","",#REF!)</f>
        <v>#REF!</v>
      </c>
      <c r="AP228" s="971" t="e">
        <f>IF(#REF!="","",#REF!)</f>
        <v>#REF!</v>
      </c>
      <c r="AQ228" s="1039" t="e">
        <f>IF(#REF!="","",#REF!)</f>
        <v>#REF!</v>
      </c>
      <c r="AR228" s="973" t="e">
        <f>IF(#REF!="","",#REF!)</f>
        <v>#REF!</v>
      </c>
      <c r="AS228" s="974" t="e">
        <f>IF(#REF!="","",#REF!)</f>
        <v>#REF!</v>
      </c>
      <c r="AT228" s="975" t="e">
        <f>IF(#REF!="","",#REF!)</f>
        <v>#REF!</v>
      </c>
      <c r="AU228" s="976" t="e">
        <f>IF(#REF!="","",#REF!)</f>
        <v>#REF!</v>
      </c>
      <c r="AV228" s="977" t="e">
        <f>IF(#REF!="","",#REF!)</f>
        <v>#REF!</v>
      </c>
      <c r="AW228" s="1040" t="e">
        <f>IF(#REF!="","",#REF!)</f>
        <v>#REF!</v>
      </c>
      <c r="AX228" s="987" t="e">
        <f>IF(#REF!="","",#REF!)</f>
        <v>#REF!</v>
      </c>
    </row>
    <row r="229" spans="38:50">
      <c r="AL229" s="1035" t="e">
        <f>IF(#REF!="","",#REF!)</f>
        <v>#REF!</v>
      </c>
      <c r="AM229" s="1036" t="e">
        <f>IF(#REF!="","",#REF!)</f>
        <v>#REF!</v>
      </c>
      <c r="AN229" s="1037" t="e">
        <f>IF(AND(#REF!="",#REF!=1),"",#REF!)</f>
        <v>#REF!</v>
      </c>
      <c r="AO229" s="1038" t="e">
        <f>IF(#REF!="","",#REF!)</f>
        <v>#REF!</v>
      </c>
      <c r="AP229" s="971" t="e">
        <f>IF(#REF!="","",#REF!)</f>
        <v>#REF!</v>
      </c>
      <c r="AQ229" s="1039" t="e">
        <f>IF(#REF!="","",#REF!)</f>
        <v>#REF!</v>
      </c>
      <c r="AR229" s="973" t="e">
        <f>IF(#REF!="","",#REF!)</f>
        <v>#REF!</v>
      </c>
      <c r="AS229" s="974" t="e">
        <f>IF(#REF!="","",#REF!)</f>
        <v>#REF!</v>
      </c>
      <c r="AT229" s="975" t="e">
        <f>IF(#REF!="","",#REF!)</f>
        <v>#REF!</v>
      </c>
      <c r="AU229" s="976" t="e">
        <f>IF(#REF!="","",#REF!)</f>
        <v>#REF!</v>
      </c>
      <c r="AV229" s="977" t="e">
        <f>IF(#REF!="","",#REF!)</f>
        <v>#REF!</v>
      </c>
      <c r="AW229" s="1040" t="e">
        <f>IF(#REF!="","",#REF!)</f>
        <v>#REF!</v>
      </c>
      <c r="AX229" s="987" t="e">
        <f>IF(#REF!="","",#REF!)</f>
        <v>#REF!</v>
      </c>
    </row>
    <row r="230" spans="38:50">
      <c r="AL230" s="1035" t="e">
        <f>IF(#REF!="","",#REF!)</f>
        <v>#REF!</v>
      </c>
      <c r="AM230" s="1036" t="e">
        <f>IF(#REF!="","",#REF!)</f>
        <v>#REF!</v>
      </c>
      <c r="AN230" s="1037" t="e">
        <f>IF(AND(#REF!="",#REF!=1),"",#REF!)</f>
        <v>#REF!</v>
      </c>
      <c r="AO230" s="1038" t="e">
        <f>IF(#REF!="","",#REF!)</f>
        <v>#REF!</v>
      </c>
      <c r="AP230" s="971" t="e">
        <f>IF(#REF!="","",#REF!)</f>
        <v>#REF!</v>
      </c>
      <c r="AQ230" s="1039" t="e">
        <f>IF(#REF!="","",#REF!)</f>
        <v>#REF!</v>
      </c>
      <c r="AR230" s="973" t="e">
        <f>IF(#REF!="","",#REF!)</f>
        <v>#REF!</v>
      </c>
      <c r="AS230" s="974" t="e">
        <f>IF(#REF!="","",#REF!)</f>
        <v>#REF!</v>
      </c>
      <c r="AT230" s="975" t="e">
        <f>IF(#REF!="","",#REF!)</f>
        <v>#REF!</v>
      </c>
      <c r="AU230" s="976" t="e">
        <f>IF(#REF!="","",#REF!)</f>
        <v>#REF!</v>
      </c>
      <c r="AV230" s="977" t="e">
        <f>IF(#REF!="","",#REF!)</f>
        <v>#REF!</v>
      </c>
      <c r="AW230" s="1040" t="e">
        <f>IF(#REF!="","",#REF!)</f>
        <v>#REF!</v>
      </c>
      <c r="AX230" s="987" t="e">
        <f>IF(#REF!="","",#REF!)</f>
        <v>#REF!</v>
      </c>
    </row>
    <row r="231" spans="38:50">
      <c r="AL231" s="1035" t="e">
        <f>IF(#REF!="","",#REF!)</f>
        <v>#REF!</v>
      </c>
      <c r="AM231" s="1036" t="e">
        <f>IF(#REF!="","",#REF!)</f>
        <v>#REF!</v>
      </c>
      <c r="AN231" s="1037" t="e">
        <f>IF(AND(#REF!="",#REF!=1),"",#REF!)</f>
        <v>#REF!</v>
      </c>
      <c r="AO231" s="1038" t="e">
        <f>IF(#REF!="","",#REF!)</f>
        <v>#REF!</v>
      </c>
      <c r="AP231" s="971" t="e">
        <f>IF(#REF!="","",#REF!)</f>
        <v>#REF!</v>
      </c>
      <c r="AQ231" s="1039" t="e">
        <f>IF(#REF!="","",#REF!)</f>
        <v>#REF!</v>
      </c>
      <c r="AR231" s="973" t="e">
        <f>IF(#REF!="","",#REF!)</f>
        <v>#REF!</v>
      </c>
      <c r="AS231" s="974" t="e">
        <f>IF(#REF!="","",#REF!)</f>
        <v>#REF!</v>
      </c>
      <c r="AT231" s="975" t="e">
        <f>IF(#REF!="","",#REF!)</f>
        <v>#REF!</v>
      </c>
      <c r="AU231" s="976" t="e">
        <f>IF(#REF!="","",#REF!)</f>
        <v>#REF!</v>
      </c>
      <c r="AV231" s="977" t="e">
        <f>IF(#REF!="","",#REF!)</f>
        <v>#REF!</v>
      </c>
      <c r="AW231" s="1040" t="e">
        <f>IF(#REF!="","",#REF!)</f>
        <v>#REF!</v>
      </c>
      <c r="AX231" s="987" t="e">
        <f>IF(#REF!="","",#REF!)</f>
        <v>#REF!</v>
      </c>
    </row>
    <row r="232" spans="38:50">
      <c r="AL232" s="1035" t="e">
        <f>IF(#REF!="","",#REF!)</f>
        <v>#REF!</v>
      </c>
      <c r="AM232" s="1036" t="e">
        <f>IF(#REF!="","",#REF!)</f>
        <v>#REF!</v>
      </c>
      <c r="AN232" s="1037" t="e">
        <f>IF(AND(#REF!="",#REF!=1),"",#REF!)</f>
        <v>#REF!</v>
      </c>
      <c r="AO232" s="1038" t="e">
        <f>IF(#REF!="","",#REF!)</f>
        <v>#REF!</v>
      </c>
      <c r="AP232" s="971" t="e">
        <f>IF(#REF!="","",#REF!)</f>
        <v>#REF!</v>
      </c>
      <c r="AQ232" s="1039" t="e">
        <f>IF(#REF!="","",#REF!)</f>
        <v>#REF!</v>
      </c>
      <c r="AR232" s="973" t="e">
        <f>IF(#REF!="","",#REF!)</f>
        <v>#REF!</v>
      </c>
      <c r="AS232" s="974" t="e">
        <f>IF(#REF!="","",#REF!)</f>
        <v>#REF!</v>
      </c>
      <c r="AT232" s="975" t="e">
        <f>IF(#REF!="","",#REF!)</f>
        <v>#REF!</v>
      </c>
      <c r="AU232" s="976" t="e">
        <f>IF(#REF!="","",#REF!)</f>
        <v>#REF!</v>
      </c>
      <c r="AV232" s="977" t="e">
        <f>IF(#REF!="","",#REF!)</f>
        <v>#REF!</v>
      </c>
      <c r="AW232" s="1040" t="e">
        <f>IF(#REF!="","",#REF!)</f>
        <v>#REF!</v>
      </c>
      <c r="AX232" s="987" t="e">
        <f>IF(#REF!="","",#REF!)</f>
        <v>#REF!</v>
      </c>
    </row>
    <row r="233" spans="38:50">
      <c r="AL233" s="1035" t="e">
        <f>IF(#REF!="","",#REF!)</f>
        <v>#REF!</v>
      </c>
      <c r="AM233" s="1036" t="e">
        <f>IF(#REF!="","",#REF!)</f>
        <v>#REF!</v>
      </c>
      <c r="AN233" s="1037" t="e">
        <f>IF(AND(#REF!="",#REF!=1),"",#REF!)</f>
        <v>#REF!</v>
      </c>
      <c r="AO233" s="1038" t="e">
        <f>IF(#REF!="","",#REF!)</f>
        <v>#REF!</v>
      </c>
      <c r="AP233" s="971" t="e">
        <f>IF(#REF!="","",#REF!)</f>
        <v>#REF!</v>
      </c>
      <c r="AQ233" s="1039" t="e">
        <f>IF(#REF!="","",#REF!)</f>
        <v>#REF!</v>
      </c>
      <c r="AR233" s="973" t="e">
        <f>IF(#REF!="","",#REF!)</f>
        <v>#REF!</v>
      </c>
      <c r="AS233" s="974" t="e">
        <f>IF(#REF!="","",#REF!)</f>
        <v>#REF!</v>
      </c>
      <c r="AT233" s="975" t="e">
        <f>IF(#REF!="","",#REF!)</f>
        <v>#REF!</v>
      </c>
      <c r="AU233" s="976" t="e">
        <f>IF(#REF!="","",#REF!)</f>
        <v>#REF!</v>
      </c>
      <c r="AV233" s="977" t="e">
        <f>IF(#REF!="","",#REF!)</f>
        <v>#REF!</v>
      </c>
      <c r="AW233" s="1040" t="e">
        <f>IF(#REF!="","",#REF!)</f>
        <v>#REF!</v>
      </c>
      <c r="AX233" s="987" t="e">
        <f>IF(#REF!="","",#REF!)</f>
        <v>#REF!</v>
      </c>
    </row>
    <row r="234" spans="38:50">
      <c r="AL234" s="1035" t="e">
        <f>IF(#REF!="","",#REF!)</f>
        <v>#REF!</v>
      </c>
      <c r="AM234" s="1036" t="e">
        <f>IF(#REF!="","",#REF!)</f>
        <v>#REF!</v>
      </c>
      <c r="AN234" s="1037" t="e">
        <f>IF(AND(#REF!="",#REF!=1),"",#REF!)</f>
        <v>#REF!</v>
      </c>
      <c r="AO234" s="1038" t="e">
        <f>IF(#REF!="","",#REF!)</f>
        <v>#REF!</v>
      </c>
      <c r="AP234" s="971" t="e">
        <f>IF(#REF!="","",#REF!)</f>
        <v>#REF!</v>
      </c>
      <c r="AQ234" s="1039" t="e">
        <f>IF(#REF!="","",#REF!)</f>
        <v>#REF!</v>
      </c>
      <c r="AR234" s="973" t="e">
        <f>IF(#REF!="","",#REF!)</f>
        <v>#REF!</v>
      </c>
      <c r="AS234" s="974" t="e">
        <f>IF(#REF!="","",#REF!)</f>
        <v>#REF!</v>
      </c>
      <c r="AT234" s="975" t="e">
        <f>IF(#REF!="","",#REF!)</f>
        <v>#REF!</v>
      </c>
      <c r="AU234" s="976" t="e">
        <f>IF(#REF!="","",#REF!)</f>
        <v>#REF!</v>
      </c>
      <c r="AV234" s="977" t="e">
        <f>IF(#REF!="","",#REF!)</f>
        <v>#REF!</v>
      </c>
      <c r="AW234" s="1040" t="e">
        <f>IF(#REF!="","",#REF!)</f>
        <v>#REF!</v>
      </c>
      <c r="AX234" s="987" t="e">
        <f>IF(#REF!="","",#REF!)</f>
        <v>#REF!</v>
      </c>
    </row>
    <row r="235" spans="38:50">
      <c r="AL235" s="1035" t="e">
        <f>IF(#REF!="","",#REF!)</f>
        <v>#REF!</v>
      </c>
      <c r="AM235" s="1036" t="e">
        <f>IF(#REF!="","",#REF!)</f>
        <v>#REF!</v>
      </c>
      <c r="AN235" s="1037" t="e">
        <f>IF(AND(#REF!="",#REF!=1),"",#REF!)</f>
        <v>#REF!</v>
      </c>
      <c r="AO235" s="1038" t="e">
        <f>IF(#REF!="","",#REF!)</f>
        <v>#REF!</v>
      </c>
      <c r="AP235" s="971" t="e">
        <f>IF(#REF!="","",#REF!)</f>
        <v>#REF!</v>
      </c>
      <c r="AQ235" s="1039" t="e">
        <f>IF(#REF!="","",#REF!)</f>
        <v>#REF!</v>
      </c>
      <c r="AR235" s="973" t="e">
        <f>IF(#REF!="","",#REF!)</f>
        <v>#REF!</v>
      </c>
      <c r="AS235" s="974" t="e">
        <f>IF(#REF!="","",#REF!)</f>
        <v>#REF!</v>
      </c>
      <c r="AT235" s="975" t="e">
        <f>IF(#REF!="","",#REF!)</f>
        <v>#REF!</v>
      </c>
      <c r="AU235" s="976" t="e">
        <f>IF(#REF!="","",#REF!)</f>
        <v>#REF!</v>
      </c>
      <c r="AV235" s="977" t="e">
        <f>IF(#REF!="","",#REF!)</f>
        <v>#REF!</v>
      </c>
      <c r="AW235" s="1040" t="e">
        <f>IF(#REF!="","",#REF!)</f>
        <v>#REF!</v>
      </c>
      <c r="AX235" s="987" t="e">
        <f>IF(#REF!="","",#REF!)</f>
        <v>#REF!</v>
      </c>
    </row>
    <row r="236" spans="38:50">
      <c r="AL236" s="1035" t="e">
        <f>IF(#REF!="","",#REF!)</f>
        <v>#REF!</v>
      </c>
      <c r="AM236" s="1036" t="e">
        <f>IF(#REF!="","",#REF!)</f>
        <v>#REF!</v>
      </c>
      <c r="AN236" s="1037" t="e">
        <f>IF(AND(#REF!="",#REF!=1),"",#REF!)</f>
        <v>#REF!</v>
      </c>
      <c r="AO236" s="1038" t="e">
        <f>IF(#REF!="","",#REF!)</f>
        <v>#REF!</v>
      </c>
      <c r="AP236" s="971" t="e">
        <f>IF(#REF!="","",#REF!)</f>
        <v>#REF!</v>
      </c>
      <c r="AQ236" s="1039" t="e">
        <f>IF(#REF!="","",#REF!)</f>
        <v>#REF!</v>
      </c>
      <c r="AR236" s="973" t="e">
        <f>IF(#REF!="","",#REF!)</f>
        <v>#REF!</v>
      </c>
      <c r="AS236" s="974" t="e">
        <f>IF(#REF!="","",#REF!)</f>
        <v>#REF!</v>
      </c>
      <c r="AT236" s="975" t="e">
        <f>IF(#REF!="","",#REF!)</f>
        <v>#REF!</v>
      </c>
      <c r="AU236" s="976" t="e">
        <f>IF(#REF!="","",#REF!)</f>
        <v>#REF!</v>
      </c>
      <c r="AV236" s="977" t="e">
        <f>IF(#REF!="","",#REF!)</f>
        <v>#REF!</v>
      </c>
      <c r="AW236" s="1040" t="e">
        <f>IF(#REF!="","",#REF!)</f>
        <v>#REF!</v>
      </c>
      <c r="AX236" s="987" t="e">
        <f>IF(#REF!="","",#REF!)</f>
        <v>#REF!</v>
      </c>
    </row>
    <row r="237" spans="38:50">
      <c r="AL237" s="1035" t="e">
        <f>IF(#REF!="","",#REF!)</f>
        <v>#REF!</v>
      </c>
      <c r="AM237" s="1036" t="e">
        <f>IF(#REF!="","",#REF!)</f>
        <v>#REF!</v>
      </c>
      <c r="AN237" s="1037" t="e">
        <f>IF(AND(#REF!="",#REF!=1),"",#REF!)</f>
        <v>#REF!</v>
      </c>
      <c r="AO237" s="1038" t="e">
        <f>IF(#REF!="","",#REF!)</f>
        <v>#REF!</v>
      </c>
      <c r="AP237" s="971" t="e">
        <f>IF(#REF!="","",#REF!)</f>
        <v>#REF!</v>
      </c>
      <c r="AQ237" s="1039" t="e">
        <f>IF(#REF!="","",#REF!)</f>
        <v>#REF!</v>
      </c>
      <c r="AR237" s="973" t="e">
        <f>IF(#REF!="","",#REF!)</f>
        <v>#REF!</v>
      </c>
      <c r="AS237" s="974" t="e">
        <f>IF(#REF!="","",#REF!)</f>
        <v>#REF!</v>
      </c>
      <c r="AT237" s="975" t="e">
        <f>IF(#REF!="","",#REF!)</f>
        <v>#REF!</v>
      </c>
      <c r="AU237" s="976" t="e">
        <f>IF(#REF!="","",#REF!)</f>
        <v>#REF!</v>
      </c>
      <c r="AV237" s="977" t="e">
        <f>IF(#REF!="","",#REF!)</f>
        <v>#REF!</v>
      </c>
      <c r="AW237" s="1040" t="e">
        <f>IF(#REF!="","",#REF!)</f>
        <v>#REF!</v>
      </c>
      <c r="AX237" s="987" t="e">
        <f>IF(#REF!="","",#REF!)</f>
        <v>#REF!</v>
      </c>
    </row>
    <row r="238" spans="38:50">
      <c r="AL238" s="1035" t="e">
        <f>IF(#REF!="","",#REF!)</f>
        <v>#REF!</v>
      </c>
      <c r="AM238" s="1036" t="e">
        <f>IF(#REF!="","",#REF!)</f>
        <v>#REF!</v>
      </c>
      <c r="AN238" s="1037" t="e">
        <f>IF(AND(#REF!="",#REF!=1),"",#REF!)</f>
        <v>#REF!</v>
      </c>
      <c r="AO238" s="1038" t="e">
        <f>IF(#REF!="","",#REF!)</f>
        <v>#REF!</v>
      </c>
      <c r="AP238" s="971" t="e">
        <f>IF(#REF!="","",#REF!)</f>
        <v>#REF!</v>
      </c>
      <c r="AQ238" s="1039" t="e">
        <f>IF(#REF!="","",#REF!)</f>
        <v>#REF!</v>
      </c>
      <c r="AR238" s="973" t="e">
        <f>IF(#REF!="","",#REF!)</f>
        <v>#REF!</v>
      </c>
      <c r="AS238" s="974" t="e">
        <f>IF(#REF!="","",#REF!)</f>
        <v>#REF!</v>
      </c>
      <c r="AT238" s="975" t="e">
        <f>IF(#REF!="","",#REF!)</f>
        <v>#REF!</v>
      </c>
      <c r="AU238" s="976" t="e">
        <f>IF(#REF!="","",#REF!)</f>
        <v>#REF!</v>
      </c>
      <c r="AV238" s="977" t="e">
        <f>IF(#REF!="","",#REF!)</f>
        <v>#REF!</v>
      </c>
      <c r="AW238" s="1040" t="e">
        <f>IF(#REF!="","",#REF!)</f>
        <v>#REF!</v>
      </c>
      <c r="AX238" s="987" t="e">
        <f>IF(#REF!="","",#REF!)</f>
        <v>#REF!</v>
      </c>
    </row>
    <row r="239" spans="38:50">
      <c r="AL239" s="1035" t="e">
        <f>IF(#REF!="","",#REF!)</f>
        <v>#REF!</v>
      </c>
      <c r="AM239" s="1036" t="e">
        <f>IF(#REF!="","",#REF!)</f>
        <v>#REF!</v>
      </c>
      <c r="AN239" s="1037" t="e">
        <f>IF(AND(#REF!="",#REF!=1),"",#REF!)</f>
        <v>#REF!</v>
      </c>
      <c r="AO239" s="1038" t="e">
        <f>IF(#REF!="","",#REF!)</f>
        <v>#REF!</v>
      </c>
      <c r="AP239" s="971" t="e">
        <f>IF(#REF!="","",#REF!)</f>
        <v>#REF!</v>
      </c>
      <c r="AQ239" s="1039" t="e">
        <f>IF(#REF!="","",#REF!)</f>
        <v>#REF!</v>
      </c>
      <c r="AR239" s="973" t="e">
        <f>IF(#REF!="","",#REF!)</f>
        <v>#REF!</v>
      </c>
      <c r="AS239" s="974" t="e">
        <f>IF(#REF!="","",#REF!)</f>
        <v>#REF!</v>
      </c>
      <c r="AT239" s="975" t="e">
        <f>IF(#REF!="","",#REF!)</f>
        <v>#REF!</v>
      </c>
      <c r="AU239" s="976" t="e">
        <f>IF(#REF!="","",#REF!)</f>
        <v>#REF!</v>
      </c>
      <c r="AV239" s="977" t="e">
        <f>IF(#REF!="","",#REF!)</f>
        <v>#REF!</v>
      </c>
      <c r="AW239" s="1040" t="e">
        <f>IF(#REF!="","",#REF!)</f>
        <v>#REF!</v>
      </c>
      <c r="AX239" s="987" t="e">
        <f>IF(#REF!="","",#REF!)</f>
        <v>#REF!</v>
      </c>
    </row>
    <row r="240" spans="38:50">
      <c r="AL240" s="1035" t="e">
        <f>IF(#REF!="","",#REF!)</f>
        <v>#REF!</v>
      </c>
      <c r="AM240" s="1036" t="e">
        <f>IF(#REF!="","",#REF!)</f>
        <v>#REF!</v>
      </c>
      <c r="AN240" s="1037" t="e">
        <f>IF(AND(#REF!="",#REF!=1),"",#REF!)</f>
        <v>#REF!</v>
      </c>
      <c r="AO240" s="1038" t="e">
        <f>IF(#REF!="","",#REF!)</f>
        <v>#REF!</v>
      </c>
      <c r="AP240" s="971" t="e">
        <f>IF(#REF!="","",#REF!)</f>
        <v>#REF!</v>
      </c>
      <c r="AQ240" s="1039" t="e">
        <f>IF(#REF!="","",#REF!)</f>
        <v>#REF!</v>
      </c>
      <c r="AR240" s="973" t="e">
        <f>IF(#REF!="","",#REF!)</f>
        <v>#REF!</v>
      </c>
      <c r="AS240" s="974" t="e">
        <f>IF(#REF!="","",#REF!)</f>
        <v>#REF!</v>
      </c>
      <c r="AT240" s="975" t="e">
        <f>IF(#REF!="","",#REF!)</f>
        <v>#REF!</v>
      </c>
      <c r="AU240" s="976" t="e">
        <f>IF(#REF!="","",#REF!)</f>
        <v>#REF!</v>
      </c>
      <c r="AV240" s="977" t="e">
        <f>IF(#REF!="","",#REF!)</f>
        <v>#REF!</v>
      </c>
      <c r="AW240" s="1040" t="e">
        <f>IF(#REF!="","",#REF!)</f>
        <v>#REF!</v>
      </c>
      <c r="AX240" s="987" t="e">
        <f>IF(#REF!="","",#REF!)</f>
        <v>#REF!</v>
      </c>
    </row>
    <row r="241" spans="38:50">
      <c r="AL241" s="1035" t="e">
        <f>IF(#REF!="","",#REF!)</f>
        <v>#REF!</v>
      </c>
      <c r="AM241" s="1036" t="e">
        <f>IF(#REF!="","",#REF!)</f>
        <v>#REF!</v>
      </c>
      <c r="AN241" s="1037" t="e">
        <f>IF(AND(#REF!="",#REF!=1),"",#REF!)</f>
        <v>#REF!</v>
      </c>
      <c r="AO241" s="1038" t="e">
        <f>IF(#REF!="","",#REF!)</f>
        <v>#REF!</v>
      </c>
      <c r="AP241" s="971" t="e">
        <f>IF(#REF!="","",#REF!)</f>
        <v>#REF!</v>
      </c>
      <c r="AQ241" s="1039" t="e">
        <f>IF(#REF!="","",#REF!)</f>
        <v>#REF!</v>
      </c>
      <c r="AR241" s="973" t="e">
        <f>IF(#REF!="","",#REF!)</f>
        <v>#REF!</v>
      </c>
      <c r="AS241" s="974" t="e">
        <f>IF(#REF!="","",#REF!)</f>
        <v>#REF!</v>
      </c>
      <c r="AT241" s="975" t="e">
        <f>IF(#REF!="","",#REF!)</f>
        <v>#REF!</v>
      </c>
      <c r="AU241" s="976" t="e">
        <f>IF(#REF!="","",#REF!)</f>
        <v>#REF!</v>
      </c>
      <c r="AV241" s="977" t="e">
        <f>IF(#REF!="","",#REF!)</f>
        <v>#REF!</v>
      </c>
      <c r="AW241" s="1040" t="e">
        <f>IF(#REF!="","",#REF!)</f>
        <v>#REF!</v>
      </c>
      <c r="AX241" s="987" t="e">
        <f>IF(#REF!="","",#REF!)</f>
        <v>#REF!</v>
      </c>
    </row>
    <row r="242" spans="38:50">
      <c r="AL242" s="1035" t="e">
        <f>IF(#REF!="","",#REF!)</f>
        <v>#REF!</v>
      </c>
      <c r="AM242" s="1036" t="e">
        <f>IF(#REF!="","",#REF!)</f>
        <v>#REF!</v>
      </c>
      <c r="AN242" s="1037" t="e">
        <f>IF(AND(#REF!="",#REF!=1),"",#REF!)</f>
        <v>#REF!</v>
      </c>
      <c r="AO242" s="1038" t="e">
        <f>IF(#REF!="","",#REF!)</f>
        <v>#REF!</v>
      </c>
      <c r="AP242" s="971" t="e">
        <f>IF(#REF!="","",#REF!)</f>
        <v>#REF!</v>
      </c>
      <c r="AQ242" s="1039" t="e">
        <f>IF(#REF!="","",#REF!)</f>
        <v>#REF!</v>
      </c>
      <c r="AR242" s="973" t="e">
        <f>IF(#REF!="","",#REF!)</f>
        <v>#REF!</v>
      </c>
      <c r="AS242" s="974" t="e">
        <f>IF(#REF!="","",#REF!)</f>
        <v>#REF!</v>
      </c>
      <c r="AT242" s="975" t="e">
        <f>IF(#REF!="","",#REF!)</f>
        <v>#REF!</v>
      </c>
      <c r="AU242" s="976" t="e">
        <f>IF(#REF!="","",#REF!)</f>
        <v>#REF!</v>
      </c>
      <c r="AV242" s="977" t="e">
        <f>IF(#REF!="","",#REF!)</f>
        <v>#REF!</v>
      </c>
      <c r="AW242" s="1040" t="e">
        <f>IF(#REF!="","",#REF!)</f>
        <v>#REF!</v>
      </c>
      <c r="AX242" s="987" t="e">
        <f>IF(#REF!="","",#REF!)</f>
        <v>#REF!</v>
      </c>
    </row>
    <row r="243" spans="38:50">
      <c r="AL243" s="1035" t="e">
        <f>IF(#REF!="","",#REF!)</f>
        <v>#REF!</v>
      </c>
      <c r="AM243" s="1036" t="e">
        <f>IF(#REF!="","",#REF!)</f>
        <v>#REF!</v>
      </c>
      <c r="AN243" s="1037" t="e">
        <f>IF(AND(#REF!="",#REF!=1),"",#REF!)</f>
        <v>#REF!</v>
      </c>
      <c r="AO243" s="1038" t="e">
        <f>IF(#REF!="","",#REF!)</f>
        <v>#REF!</v>
      </c>
      <c r="AP243" s="971" t="e">
        <f>IF(#REF!="","",#REF!)</f>
        <v>#REF!</v>
      </c>
      <c r="AQ243" s="1039" t="e">
        <f>IF(#REF!="","",#REF!)</f>
        <v>#REF!</v>
      </c>
      <c r="AR243" s="973" t="e">
        <f>IF(#REF!="","",#REF!)</f>
        <v>#REF!</v>
      </c>
      <c r="AS243" s="974" t="e">
        <f>IF(#REF!="","",#REF!)</f>
        <v>#REF!</v>
      </c>
      <c r="AT243" s="975" t="e">
        <f>IF(#REF!="","",#REF!)</f>
        <v>#REF!</v>
      </c>
      <c r="AU243" s="976" t="e">
        <f>IF(#REF!="","",#REF!)</f>
        <v>#REF!</v>
      </c>
      <c r="AV243" s="977" t="e">
        <f>IF(#REF!="","",#REF!)</f>
        <v>#REF!</v>
      </c>
      <c r="AW243" s="1040" t="e">
        <f>IF(#REF!="","",#REF!)</f>
        <v>#REF!</v>
      </c>
      <c r="AX243" s="987" t="e">
        <f>IF(#REF!="","",#REF!)</f>
        <v>#REF!</v>
      </c>
    </row>
    <row r="244" spans="38:50">
      <c r="AL244" s="1035" t="e">
        <f>IF(#REF!="","",#REF!)</f>
        <v>#REF!</v>
      </c>
      <c r="AM244" s="1036" t="e">
        <f>IF(#REF!="","",#REF!)</f>
        <v>#REF!</v>
      </c>
      <c r="AN244" s="1037" t="e">
        <f>IF(AND(#REF!="",#REF!=1),"",#REF!)</f>
        <v>#REF!</v>
      </c>
      <c r="AO244" s="1038" t="e">
        <f>IF(#REF!="","",#REF!)</f>
        <v>#REF!</v>
      </c>
      <c r="AP244" s="971" t="e">
        <f>IF(#REF!="","",#REF!)</f>
        <v>#REF!</v>
      </c>
      <c r="AQ244" s="1039" t="e">
        <f>IF(#REF!="","",#REF!)</f>
        <v>#REF!</v>
      </c>
      <c r="AR244" s="973" t="e">
        <f>IF(#REF!="","",#REF!)</f>
        <v>#REF!</v>
      </c>
      <c r="AS244" s="974" t="e">
        <f>IF(#REF!="","",#REF!)</f>
        <v>#REF!</v>
      </c>
      <c r="AT244" s="975" t="e">
        <f>IF(#REF!="","",#REF!)</f>
        <v>#REF!</v>
      </c>
      <c r="AU244" s="976" t="e">
        <f>IF(#REF!="","",#REF!)</f>
        <v>#REF!</v>
      </c>
      <c r="AV244" s="977" t="e">
        <f>IF(#REF!="","",#REF!)</f>
        <v>#REF!</v>
      </c>
      <c r="AW244" s="1040" t="e">
        <f>IF(#REF!="","",#REF!)</f>
        <v>#REF!</v>
      </c>
      <c r="AX244" s="987" t="e">
        <f>IF(#REF!="","",#REF!)</f>
        <v>#REF!</v>
      </c>
    </row>
    <row r="245" spans="38:50">
      <c r="AL245" s="1035" t="e">
        <f>IF(#REF!="","",#REF!)</f>
        <v>#REF!</v>
      </c>
      <c r="AM245" s="1036" t="e">
        <f>IF(#REF!="","",#REF!)</f>
        <v>#REF!</v>
      </c>
      <c r="AN245" s="1037" t="e">
        <f>IF(AND(#REF!="",#REF!=1),"",#REF!)</f>
        <v>#REF!</v>
      </c>
      <c r="AO245" s="1038" t="e">
        <f>IF(#REF!="","",#REF!)</f>
        <v>#REF!</v>
      </c>
      <c r="AP245" s="971" t="e">
        <f>IF(#REF!="","",#REF!)</f>
        <v>#REF!</v>
      </c>
      <c r="AQ245" s="1039" t="e">
        <f>IF(#REF!="","",#REF!)</f>
        <v>#REF!</v>
      </c>
      <c r="AR245" s="973" t="e">
        <f>IF(#REF!="","",#REF!)</f>
        <v>#REF!</v>
      </c>
      <c r="AS245" s="974" t="e">
        <f>IF(#REF!="","",#REF!)</f>
        <v>#REF!</v>
      </c>
      <c r="AT245" s="975" t="e">
        <f>IF(#REF!="","",#REF!)</f>
        <v>#REF!</v>
      </c>
      <c r="AU245" s="976" t="e">
        <f>IF(#REF!="","",#REF!)</f>
        <v>#REF!</v>
      </c>
      <c r="AV245" s="977" t="e">
        <f>IF(#REF!="","",#REF!)</f>
        <v>#REF!</v>
      </c>
      <c r="AW245" s="1040" t="e">
        <f>IF(#REF!="","",#REF!)</f>
        <v>#REF!</v>
      </c>
      <c r="AX245" s="987" t="e">
        <f>IF(#REF!="","",#REF!)</f>
        <v>#REF!</v>
      </c>
    </row>
    <row r="246" spans="38:50">
      <c r="AL246" s="1035" t="e">
        <f>IF(#REF!="","",#REF!)</f>
        <v>#REF!</v>
      </c>
      <c r="AM246" s="1036" t="e">
        <f>IF(#REF!="","",#REF!)</f>
        <v>#REF!</v>
      </c>
      <c r="AN246" s="1037" t="e">
        <f>IF(AND(#REF!="",#REF!=1),"",#REF!)</f>
        <v>#REF!</v>
      </c>
      <c r="AO246" s="1038" t="e">
        <f>IF(#REF!="","",#REF!)</f>
        <v>#REF!</v>
      </c>
      <c r="AP246" s="971" t="e">
        <f>IF(#REF!="","",#REF!)</f>
        <v>#REF!</v>
      </c>
      <c r="AQ246" s="1039" t="e">
        <f>IF(#REF!="","",#REF!)</f>
        <v>#REF!</v>
      </c>
      <c r="AR246" s="973" t="e">
        <f>IF(#REF!="","",#REF!)</f>
        <v>#REF!</v>
      </c>
      <c r="AS246" s="974" t="e">
        <f>IF(#REF!="","",#REF!)</f>
        <v>#REF!</v>
      </c>
      <c r="AT246" s="975" t="e">
        <f>IF(#REF!="","",#REF!)</f>
        <v>#REF!</v>
      </c>
      <c r="AU246" s="976" t="e">
        <f>IF(#REF!="","",#REF!)</f>
        <v>#REF!</v>
      </c>
      <c r="AV246" s="977" t="e">
        <f>IF(#REF!="","",#REF!)</f>
        <v>#REF!</v>
      </c>
      <c r="AW246" s="1040" t="e">
        <f>IF(#REF!="","",#REF!)</f>
        <v>#REF!</v>
      </c>
      <c r="AX246" s="987" t="e">
        <f>IF(#REF!="","",#REF!)</f>
        <v>#REF!</v>
      </c>
    </row>
    <row r="247" spans="38:50">
      <c r="AL247" s="1035" t="e">
        <f>IF(#REF!="","",#REF!)</f>
        <v>#REF!</v>
      </c>
      <c r="AM247" s="1036" t="e">
        <f>IF(#REF!="","",#REF!)</f>
        <v>#REF!</v>
      </c>
      <c r="AN247" s="1037" t="e">
        <f>IF(AND(#REF!="",#REF!=1),"",#REF!)</f>
        <v>#REF!</v>
      </c>
      <c r="AO247" s="1038" t="e">
        <f>IF(#REF!="","",#REF!)</f>
        <v>#REF!</v>
      </c>
      <c r="AP247" s="971" t="e">
        <f>IF(#REF!="","",#REF!)</f>
        <v>#REF!</v>
      </c>
      <c r="AQ247" s="1039" t="e">
        <f>IF(#REF!="","",#REF!)</f>
        <v>#REF!</v>
      </c>
      <c r="AR247" s="973" t="e">
        <f>IF(#REF!="","",#REF!)</f>
        <v>#REF!</v>
      </c>
      <c r="AS247" s="974" t="e">
        <f>IF(#REF!="","",#REF!)</f>
        <v>#REF!</v>
      </c>
      <c r="AT247" s="975" t="e">
        <f>IF(#REF!="","",#REF!)</f>
        <v>#REF!</v>
      </c>
      <c r="AU247" s="976" t="e">
        <f>IF(#REF!="","",#REF!)</f>
        <v>#REF!</v>
      </c>
      <c r="AV247" s="977" t="e">
        <f>IF(#REF!="","",#REF!)</f>
        <v>#REF!</v>
      </c>
      <c r="AW247" s="1040" t="e">
        <f>IF(#REF!="","",#REF!)</f>
        <v>#REF!</v>
      </c>
      <c r="AX247" s="987" t="e">
        <f>IF(#REF!="","",#REF!)</f>
        <v>#REF!</v>
      </c>
    </row>
    <row r="248" spans="38:50">
      <c r="AL248" s="1035" t="e">
        <f>IF(#REF!="","",#REF!)</f>
        <v>#REF!</v>
      </c>
      <c r="AM248" s="1036" t="e">
        <f>IF(#REF!="","",#REF!)</f>
        <v>#REF!</v>
      </c>
      <c r="AN248" s="1037" t="e">
        <f>IF(AND(#REF!="",#REF!=1),"",#REF!)</f>
        <v>#REF!</v>
      </c>
      <c r="AO248" s="1038" t="e">
        <f>IF(#REF!="","",#REF!)</f>
        <v>#REF!</v>
      </c>
      <c r="AP248" s="971" t="e">
        <f>IF(#REF!="","",#REF!)</f>
        <v>#REF!</v>
      </c>
      <c r="AQ248" s="1039" t="e">
        <f>IF(#REF!="","",#REF!)</f>
        <v>#REF!</v>
      </c>
      <c r="AR248" s="973" t="e">
        <f>IF(#REF!="","",#REF!)</f>
        <v>#REF!</v>
      </c>
      <c r="AS248" s="974" t="e">
        <f>IF(#REF!="","",#REF!)</f>
        <v>#REF!</v>
      </c>
      <c r="AT248" s="975" t="e">
        <f>IF(#REF!="","",#REF!)</f>
        <v>#REF!</v>
      </c>
      <c r="AU248" s="976" t="e">
        <f>IF(#REF!="","",#REF!)</f>
        <v>#REF!</v>
      </c>
      <c r="AV248" s="977" t="e">
        <f>IF(#REF!="","",#REF!)</f>
        <v>#REF!</v>
      </c>
      <c r="AW248" s="1040" t="e">
        <f>IF(#REF!="","",#REF!)</f>
        <v>#REF!</v>
      </c>
      <c r="AX248" s="987" t="e">
        <f>IF(#REF!="","",#REF!)</f>
        <v>#REF!</v>
      </c>
    </row>
    <row r="249" spans="38:50">
      <c r="AL249" s="1035" t="e">
        <f>IF(#REF!="","",#REF!)</f>
        <v>#REF!</v>
      </c>
      <c r="AM249" s="1036" t="e">
        <f>IF(#REF!="","",#REF!)</f>
        <v>#REF!</v>
      </c>
      <c r="AN249" s="1037" t="e">
        <f>IF(AND(#REF!="",#REF!=1),"",#REF!)</f>
        <v>#REF!</v>
      </c>
      <c r="AO249" s="1038" t="e">
        <f>IF(#REF!="","",#REF!)</f>
        <v>#REF!</v>
      </c>
      <c r="AP249" s="971" t="e">
        <f>IF(#REF!="","",#REF!)</f>
        <v>#REF!</v>
      </c>
      <c r="AQ249" s="1039" t="e">
        <f>IF(#REF!="","",#REF!)</f>
        <v>#REF!</v>
      </c>
      <c r="AR249" s="973" t="e">
        <f>IF(#REF!="","",#REF!)</f>
        <v>#REF!</v>
      </c>
      <c r="AS249" s="974" t="e">
        <f>IF(#REF!="","",#REF!)</f>
        <v>#REF!</v>
      </c>
      <c r="AT249" s="975" t="e">
        <f>IF(#REF!="","",#REF!)</f>
        <v>#REF!</v>
      </c>
      <c r="AU249" s="976" t="e">
        <f>IF(#REF!="","",#REF!)</f>
        <v>#REF!</v>
      </c>
      <c r="AV249" s="977" t="e">
        <f>IF(#REF!="","",#REF!)</f>
        <v>#REF!</v>
      </c>
      <c r="AW249" s="1040" t="e">
        <f>IF(#REF!="","",#REF!)</f>
        <v>#REF!</v>
      </c>
      <c r="AX249" s="987" t="e">
        <f>IF(#REF!="","",#REF!)</f>
        <v>#REF!</v>
      </c>
    </row>
    <row r="250" spans="38:50">
      <c r="AL250" s="1035" t="e">
        <f>IF(#REF!="","",#REF!)</f>
        <v>#REF!</v>
      </c>
      <c r="AM250" s="1036" t="e">
        <f>IF(#REF!="","",#REF!)</f>
        <v>#REF!</v>
      </c>
      <c r="AN250" s="1037" t="e">
        <f>IF(AND(#REF!="",#REF!=1),"",#REF!)</f>
        <v>#REF!</v>
      </c>
      <c r="AO250" s="1038" t="e">
        <f>IF(#REF!="","",#REF!)</f>
        <v>#REF!</v>
      </c>
      <c r="AP250" s="971" t="e">
        <f>IF(#REF!="","",#REF!)</f>
        <v>#REF!</v>
      </c>
      <c r="AQ250" s="1039" t="e">
        <f>IF(#REF!="","",#REF!)</f>
        <v>#REF!</v>
      </c>
      <c r="AR250" s="973" t="e">
        <f>IF(#REF!="","",#REF!)</f>
        <v>#REF!</v>
      </c>
      <c r="AS250" s="974" t="e">
        <f>IF(#REF!="","",#REF!)</f>
        <v>#REF!</v>
      </c>
      <c r="AT250" s="975" t="e">
        <f>IF(#REF!="","",#REF!)</f>
        <v>#REF!</v>
      </c>
      <c r="AU250" s="976" t="e">
        <f>IF(#REF!="","",#REF!)</f>
        <v>#REF!</v>
      </c>
      <c r="AV250" s="977" t="e">
        <f>IF(#REF!="","",#REF!)</f>
        <v>#REF!</v>
      </c>
      <c r="AW250" s="1040" t="e">
        <f>IF(#REF!="","",#REF!)</f>
        <v>#REF!</v>
      </c>
      <c r="AX250" s="987" t="e">
        <f>IF(#REF!="","",#REF!)</f>
        <v>#REF!</v>
      </c>
    </row>
    <row r="251" spans="38:50">
      <c r="AL251" s="1035" t="e">
        <f>IF(#REF!="","",#REF!)</f>
        <v>#REF!</v>
      </c>
      <c r="AM251" s="1036" t="e">
        <f>IF(#REF!="","",#REF!)</f>
        <v>#REF!</v>
      </c>
      <c r="AN251" s="1037" t="e">
        <f>IF(AND(#REF!="",#REF!=1),"",#REF!)</f>
        <v>#REF!</v>
      </c>
      <c r="AO251" s="1038" t="e">
        <f>IF(#REF!="","",#REF!)</f>
        <v>#REF!</v>
      </c>
      <c r="AP251" s="971" t="e">
        <f>IF(#REF!="","",#REF!)</f>
        <v>#REF!</v>
      </c>
      <c r="AQ251" s="1039" t="e">
        <f>IF(#REF!="","",#REF!)</f>
        <v>#REF!</v>
      </c>
      <c r="AR251" s="973" t="e">
        <f>IF(#REF!="","",#REF!)</f>
        <v>#REF!</v>
      </c>
      <c r="AS251" s="974" t="e">
        <f>IF(#REF!="","",#REF!)</f>
        <v>#REF!</v>
      </c>
      <c r="AT251" s="975" t="e">
        <f>IF(#REF!="","",#REF!)</f>
        <v>#REF!</v>
      </c>
      <c r="AU251" s="976" t="e">
        <f>IF(#REF!="","",#REF!)</f>
        <v>#REF!</v>
      </c>
      <c r="AV251" s="977" t="e">
        <f>IF(#REF!="","",#REF!)</f>
        <v>#REF!</v>
      </c>
      <c r="AW251" s="1040" t="e">
        <f>IF(#REF!="","",#REF!)</f>
        <v>#REF!</v>
      </c>
      <c r="AX251" s="987" t="e">
        <f>IF(#REF!="","",#REF!)</f>
        <v>#REF!</v>
      </c>
    </row>
    <row r="252" spans="38:50">
      <c r="AL252" s="1035" t="e">
        <f>IF(#REF!="","",#REF!)</f>
        <v>#REF!</v>
      </c>
      <c r="AM252" s="1036" t="e">
        <f>IF(#REF!="","",#REF!)</f>
        <v>#REF!</v>
      </c>
      <c r="AN252" s="1037" t="e">
        <f>IF(AND(#REF!="",#REF!=1),"",#REF!)</f>
        <v>#REF!</v>
      </c>
      <c r="AO252" s="1038" t="e">
        <f>IF(#REF!="","",#REF!)</f>
        <v>#REF!</v>
      </c>
      <c r="AP252" s="971" t="e">
        <f>IF(#REF!="","",#REF!)</f>
        <v>#REF!</v>
      </c>
      <c r="AQ252" s="1039" t="e">
        <f>IF(#REF!="","",#REF!)</f>
        <v>#REF!</v>
      </c>
      <c r="AR252" s="973" t="e">
        <f>IF(#REF!="","",#REF!)</f>
        <v>#REF!</v>
      </c>
      <c r="AS252" s="974" t="e">
        <f>IF(#REF!="","",#REF!)</f>
        <v>#REF!</v>
      </c>
      <c r="AT252" s="975" t="e">
        <f>IF(#REF!="","",#REF!)</f>
        <v>#REF!</v>
      </c>
      <c r="AU252" s="976" t="e">
        <f>IF(#REF!="","",#REF!)</f>
        <v>#REF!</v>
      </c>
      <c r="AV252" s="977" t="e">
        <f>IF(#REF!="","",#REF!)</f>
        <v>#REF!</v>
      </c>
      <c r="AW252" s="1040" t="e">
        <f>IF(#REF!="","",#REF!)</f>
        <v>#REF!</v>
      </c>
      <c r="AX252" s="987" t="e">
        <f>IF(#REF!="","",#REF!)</f>
        <v>#REF!</v>
      </c>
    </row>
    <row r="253" spans="38:50">
      <c r="AL253" s="1035" t="e">
        <f>IF(#REF!="","",#REF!)</f>
        <v>#REF!</v>
      </c>
      <c r="AM253" s="1036" t="e">
        <f>IF(#REF!="","",#REF!)</f>
        <v>#REF!</v>
      </c>
      <c r="AN253" s="1037" t="e">
        <f>IF(AND(#REF!="",#REF!=1),"",#REF!)</f>
        <v>#REF!</v>
      </c>
      <c r="AO253" s="1038" t="e">
        <f>IF(#REF!="","",#REF!)</f>
        <v>#REF!</v>
      </c>
      <c r="AP253" s="971" t="e">
        <f>IF(#REF!="","",#REF!)</f>
        <v>#REF!</v>
      </c>
      <c r="AQ253" s="1039" t="e">
        <f>IF(#REF!="","",#REF!)</f>
        <v>#REF!</v>
      </c>
      <c r="AR253" s="973" t="e">
        <f>IF(#REF!="","",#REF!)</f>
        <v>#REF!</v>
      </c>
      <c r="AS253" s="974" t="e">
        <f>IF(#REF!="","",#REF!)</f>
        <v>#REF!</v>
      </c>
      <c r="AT253" s="975" t="e">
        <f>IF(#REF!="","",#REF!)</f>
        <v>#REF!</v>
      </c>
      <c r="AU253" s="976" t="e">
        <f>IF(#REF!="","",#REF!)</f>
        <v>#REF!</v>
      </c>
      <c r="AV253" s="977" t="e">
        <f>IF(#REF!="","",#REF!)</f>
        <v>#REF!</v>
      </c>
      <c r="AW253" s="1040" t="e">
        <f>IF(#REF!="","",#REF!)</f>
        <v>#REF!</v>
      </c>
      <c r="AX253" s="987" t="e">
        <f>IF(#REF!="","",#REF!)</f>
        <v>#REF!</v>
      </c>
    </row>
    <row r="254" spans="38:50">
      <c r="AL254" s="1035" t="e">
        <f>IF(#REF!="","",#REF!)</f>
        <v>#REF!</v>
      </c>
      <c r="AM254" s="1036" t="e">
        <f>IF(#REF!="","",#REF!)</f>
        <v>#REF!</v>
      </c>
      <c r="AN254" s="1037" t="e">
        <f>IF(AND(#REF!="",#REF!=1),"",#REF!)</f>
        <v>#REF!</v>
      </c>
      <c r="AO254" s="1038" t="e">
        <f>IF(#REF!="","",#REF!)</f>
        <v>#REF!</v>
      </c>
      <c r="AP254" s="971" t="e">
        <f>IF(#REF!="","",#REF!)</f>
        <v>#REF!</v>
      </c>
      <c r="AQ254" s="1039" t="e">
        <f>IF(#REF!="","",#REF!)</f>
        <v>#REF!</v>
      </c>
      <c r="AR254" s="973" t="e">
        <f>IF(#REF!="","",#REF!)</f>
        <v>#REF!</v>
      </c>
      <c r="AS254" s="974" t="e">
        <f>IF(#REF!="","",#REF!)</f>
        <v>#REF!</v>
      </c>
      <c r="AT254" s="975" t="e">
        <f>IF(#REF!="","",#REF!)</f>
        <v>#REF!</v>
      </c>
      <c r="AU254" s="976" t="e">
        <f>IF(#REF!="","",#REF!)</f>
        <v>#REF!</v>
      </c>
      <c r="AV254" s="977" t="e">
        <f>IF(#REF!="","",#REF!)</f>
        <v>#REF!</v>
      </c>
      <c r="AW254" s="1040" t="e">
        <f>IF(#REF!="","",#REF!)</f>
        <v>#REF!</v>
      </c>
      <c r="AX254" s="987" t="e">
        <f>IF(#REF!="","",#REF!)</f>
        <v>#REF!</v>
      </c>
    </row>
    <row r="255" spans="38:50">
      <c r="AL255" s="1035" t="e">
        <f>IF(#REF!="","",#REF!)</f>
        <v>#REF!</v>
      </c>
      <c r="AM255" s="1036" t="e">
        <f>IF(#REF!="","",#REF!)</f>
        <v>#REF!</v>
      </c>
      <c r="AN255" s="1037" t="e">
        <f>IF(AND(#REF!="",#REF!=1),"",#REF!)</f>
        <v>#REF!</v>
      </c>
      <c r="AO255" s="1038" t="e">
        <f>IF(#REF!="","",#REF!)</f>
        <v>#REF!</v>
      </c>
      <c r="AP255" s="971" t="e">
        <f>IF(#REF!="","",#REF!)</f>
        <v>#REF!</v>
      </c>
      <c r="AQ255" s="1039" t="e">
        <f>IF(#REF!="","",#REF!)</f>
        <v>#REF!</v>
      </c>
      <c r="AR255" s="973" t="e">
        <f>IF(#REF!="","",#REF!)</f>
        <v>#REF!</v>
      </c>
      <c r="AS255" s="974" t="e">
        <f>IF(#REF!="","",#REF!)</f>
        <v>#REF!</v>
      </c>
      <c r="AT255" s="975" t="e">
        <f>IF(#REF!="","",#REF!)</f>
        <v>#REF!</v>
      </c>
      <c r="AU255" s="976" t="e">
        <f>IF(#REF!="","",#REF!)</f>
        <v>#REF!</v>
      </c>
      <c r="AV255" s="977" t="e">
        <f>IF(#REF!="","",#REF!)</f>
        <v>#REF!</v>
      </c>
      <c r="AW255" s="1040" t="e">
        <f>IF(#REF!="","",#REF!)</f>
        <v>#REF!</v>
      </c>
      <c r="AX255" s="987" t="e">
        <f>IF(#REF!="","",#REF!)</f>
        <v>#REF!</v>
      </c>
    </row>
    <row r="256" spans="38:50">
      <c r="AL256" s="1035" t="e">
        <f>IF(#REF!="","",#REF!)</f>
        <v>#REF!</v>
      </c>
      <c r="AM256" s="1036" t="e">
        <f>IF(#REF!="","",#REF!)</f>
        <v>#REF!</v>
      </c>
      <c r="AN256" s="1037" t="e">
        <f>IF(AND(#REF!="",#REF!=1),"",#REF!)</f>
        <v>#REF!</v>
      </c>
      <c r="AO256" s="1038" t="e">
        <f>IF(#REF!="","",#REF!)</f>
        <v>#REF!</v>
      </c>
      <c r="AP256" s="971" t="e">
        <f>IF(#REF!="","",#REF!)</f>
        <v>#REF!</v>
      </c>
      <c r="AQ256" s="1039" t="e">
        <f>IF(#REF!="","",#REF!)</f>
        <v>#REF!</v>
      </c>
      <c r="AR256" s="973" t="e">
        <f>IF(#REF!="","",#REF!)</f>
        <v>#REF!</v>
      </c>
      <c r="AS256" s="974" t="e">
        <f>IF(#REF!="","",#REF!)</f>
        <v>#REF!</v>
      </c>
      <c r="AT256" s="975" t="e">
        <f>IF(#REF!="","",#REF!)</f>
        <v>#REF!</v>
      </c>
      <c r="AU256" s="976" t="e">
        <f>IF(#REF!="","",#REF!)</f>
        <v>#REF!</v>
      </c>
      <c r="AV256" s="977" t="e">
        <f>IF(#REF!="","",#REF!)</f>
        <v>#REF!</v>
      </c>
      <c r="AW256" s="1040" t="e">
        <f>IF(#REF!="","",#REF!)</f>
        <v>#REF!</v>
      </c>
      <c r="AX256" s="987" t="e">
        <f>IF(#REF!="","",#REF!)</f>
        <v>#REF!</v>
      </c>
    </row>
    <row r="257" spans="38:50">
      <c r="AL257" s="1035" t="e">
        <f>IF(#REF!="","",#REF!)</f>
        <v>#REF!</v>
      </c>
      <c r="AM257" s="1036" t="e">
        <f>IF(#REF!="","",#REF!)</f>
        <v>#REF!</v>
      </c>
      <c r="AN257" s="1037" t="e">
        <f>IF(AND(#REF!="",#REF!=1),"",#REF!)</f>
        <v>#REF!</v>
      </c>
      <c r="AO257" s="1038" t="e">
        <f>IF(#REF!="","",#REF!)</f>
        <v>#REF!</v>
      </c>
      <c r="AP257" s="971" t="e">
        <f>IF(#REF!="","",#REF!)</f>
        <v>#REF!</v>
      </c>
      <c r="AQ257" s="1039" t="e">
        <f>IF(#REF!="","",#REF!)</f>
        <v>#REF!</v>
      </c>
      <c r="AR257" s="973" t="e">
        <f>IF(#REF!="","",#REF!)</f>
        <v>#REF!</v>
      </c>
      <c r="AS257" s="974" t="e">
        <f>IF(#REF!="","",#REF!)</f>
        <v>#REF!</v>
      </c>
      <c r="AT257" s="975" t="e">
        <f>IF(#REF!="","",#REF!)</f>
        <v>#REF!</v>
      </c>
      <c r="AU257" s="976" t="e">
        <f>IF(#REF!="","",#REF!)</f>
        <v>#REF!</v>
      </c>
      <c r="AV257" s="977" t="e">
        <f>IF(#REF!="","",#REF!)</f>
        <v>#REF!</v>
      </c>
      <c r="AW257" s="1040" t="e">
        <f>IF(#REF!="","",#REF!)</f>
        <v>#REF!</v>
      </c>
      <c r="AX257" s="987" t="e">
        <f>IF(#REF!="","",#REF!)</f>
        <v>#REF!</v>
      </c>
    </row>
    <row r="258" spans="38:50">
      <c r="AL258" s="1035" t="e">
        <f>IF(#REF!="","",#REF!)</f>
        <v>#REF!</v>
      </c>
      <c r="AM258" s="1036" t="e">
        <f>IF(#REF!="","",#REF!)</f>
        <v>#REF!</v>
      </c>
      <c r="AN258" s="1037" t="e">
        <f>IF(AND(#REF!="",#REF!=1),"",#REF!)</f>
        <v>#REF!</v>
      </c>
      <c r="AO258" s="1038" t="e">
        <f>IF(#REF!="","",#REF!)</f>
        <v>#REF!</v>
      </c>
      <c r="AP258" s="971" t="e">
        <f>IF(#REF!="","",#REF!)</f>
        <v>#REF!</v>
      </c>
      <c r="AQ258" s="1039" t="e">
        <f>IF(#REF!="","",#REF!)</f>
        <v>#REF!</v>
      </c>
      <c r="AR258" s="973" t="e">
        <f>IF(#REF!="","",#REF!)</f>
        <v>#REF!</v>
      </c>
      <c r="AS258" s="974" t="e">
        <f>IF(#REF!="","",#REF!)</f>
        <v>#REF!</v>
      </c>
      <c r="AT258" s="975" t="e">
        <f>IF(#REF!="","",#REF!)</f>
        <v>#REF!</v>
      </c>
      <c r="AU258" s="976" t="e">
        <f>IF(#REF!="","",#REF!)</f>
        <v>#REF!</v>
      </c>
      <c r="AV258" s="977" t="e">
        <f>IF(#REF!="","",#REF!)</f>
        <v>#REF!</v>
      </c>
      <c r="AW258" s="1040" t="e">
        <f>IF(#REF!="","",#REF!)</f>
        <v>#REF!</v>
      </c>
      <c r="AX258" s="987" t="e">
        <f>IF(#REF!="","",#REF!)</f>
        <v>#REF!</v>
      </c>
    </row>
    <row r="259" spans="38:50">
      <c r="AL259" s="1035" t="e">
        <f>IF(#REF!="","",#REF!)</f>
        <v>#REF!</v>
      </c>
      <c r="AM259" s="1036" t="e">
        <f>IF(#REF!="","",#REF!)</f>
        <v>#REF!</v>
      </c>
      <c r="AN259" s="1037" t="e">
        <f>IF(AND(#REF!="",#REF!=1),"",#REF!)</f>
        <v>#REF!</v>
      </c>
      <c r="AO259" s="1038" t="e">
        <f>IF(#REF!="","",#REF!)</f>
        <v>#REF!</v>
      </c>
      <c r="AP259" s="971" t="e">
        <f>IF(#REF!="","",#REF!)</f>
        <v>#REF!</v>
      </c>
      <c r="AQ259" s="1039" t="e">
        <f>IF(#REF!="","",#REF!)</f>
        <v>#REF!</v>
      </c>
      <c r="AR259" s="973" t="e">
        <f>IF(#REF!="","",#REF!)</f>
        <v>#REF!</v>
      </c>
      <c r="AS259" s="974" t="e">
        <f>IF(#REF!="","",#REF!)</f>
        <v>#REF!</v>
      </c>
      <c r="AT259" s="975" t="e">
        <f>IF(#REF!="","",#REF!)</f>
        <v>#REF!</v>
      </c>
      <c r="AU259" s="976" t="e">
        <f>IF(#REF!="","",#REF!)</f>
        <v>#REF!</v>
      </c>
      <c r="AV259" s="977" t="e">
        <f>IF(#REF!="","",#REF!)</f>
        <v>#REF!</v>
      </c>
      <c r="AW259" s="1040" t="e">
        <f>IF(#REF!="","",#REF!)</f>
        <v>#REF!</v>
      </c>
      <c r="AX259" s="987" t="e">
        <f>IF(#REF!="","",#REF!)</f>
        <v>#REF!</v>
      </c>
    </row>
    <row r="260" spans="38:50">
      <c r="AL260" s="1035" t="e">
        <f>IF(#REF!="","",#REF!)</f>
        <v>#REF!</v>
      </c>
      <c r="AM260" s="1036" t="e">
        <f>IF(#REF!="","",#REF!)</f>
        <v>#REF!</v>
      </c>
      <c r="AN260" s="1037" t="e">
        <f>IF(AND(#REF!="",#REF!=1),"",#REF!)</f>
        <v>#REF!</v>
      </c>
      <c r="AO260" s="1038" t="e">
        <f>IF(#REF!="","",#REF!)</f>
        <v>#REF!</v>
      </c>
      <c r="AP260" s="971" t="e">
        <f>IF(#REF!="","",#REF!)</f>
        <v>#REF!</v>
      </c>
      <c r="AQ260" s="1039" t="e">
        <f>IF(#REF!="","",#REF!)</f>
        <v>#REF!</v>
      </c>
      <c r="AR260" s="973" t="e">
        <f>IF(#REF!="","",#REF!)</f>
        <v>#REF!</v>
      </c>
      <c r="AS260" s="974" t="e">
        <f>IF(#REF!="","",#REF!)</f>
        <v>#REF!</v>
      </c>
      <c r="AT260" s="975" t="e">
        <f>IF(#REF!="","",#REF!)</f>
        <v>#REF!</v>
      </c>
      <c r="AU260" s="976" t="e">
        <f>IF(#REF!="","",#REF!)</f>
        <v>#REF!</v>
      </c>
      <c r="AV260" s="977" t="e">
        <f>IF(#REF!="","",#REF!)</f>
        <v>#REF!</v>
      </c>
      <c r="AW260" s="1040" t="e">
        <f>IF(#REF!="","",#REF!)</f>
        <v>#REF!</v>
      </c>
      <c r="AX260" s="987" t="e">
        <f>IF(#REF!="","",#REF!)</f>
        <v>#REF!</v>
      </c>
    </row>
    <row r="261" spans="38:50">
      <c r="AL261" s="1035" t="e">
        <f>IF(#REF!="","",#REF!)</f>
        <v>#REF!</v>
      </c>
      <c r="AM261" s="1036" t="e">
        <f>IF(#REF!="","",#REF!)</f>
        <v>#REF!</v>
      </c>
      <c r="AN261" s="1037" t="e">
        <f>IF(AND(#REF!="",#REF!=1),"",#REF!)</f>
        <v>#REF!</v>
      </c>
      <c r="AO261" s="1038" t="e">
        <f>IF(#REF!="","",#REF!)</f>
        <v>#REF!</v>
      </c>
      <c r="AP261" s="971" t="e">
        <f>IF(#REF!="","",#REF!)</f>
        <v>#REF!</v>
      </c>
      <c r="AQ261" s="1039" t="e">
        <f>IF(#REF!="","",#REF!)</f>
        <v>#REF!</v>
      </c>
      <c r="AR261" s="973" t="e">
        <f>IF(#REF!="","",#REF!)</f>
        <v>#REF!</v>
      </c>
      <c r="AS261" s="974" t="e">
        <f>IF(#REF!="","",#REF!)</f>
        <v>#REF!</v>
      </c>
      <c r="AT261" s="975" t="e">
        <f>IF(#REF!="","",#REF!)</f>
        <v>#REF!</v>
      </c>
      <c r="AU261" s="976" t="e">
        <f>IF(#REF!="","",#REF!)</f>
        <v>#REF!</v>
      </c>
      <c r="AV261" s="977" t="e">
        <f>IF(#REF!="","",#REF!)</f>
        <v>#REF!</v>
      </c>
      <c r="AW261" s="1040" t="e">
        <f>IF(#REF!="","",#REF!)</f>
        <v>#REF!</v>
      </c>
      <c r="AX261" s="987" t="e">
        <f>IF(#REF!="","",#REF!)</f>
        <v>#REF!</v>
      </c>
    </row>
    <row r="262" spans="38:50" ht="17.25" thickBot="1">
      <c r="AL262" s="1035" t="e">
        <f>IF(#REF!="","",#REF!)</f>
        <v>#REF!</v>
      </c>
      <c r="AM262" s="1036" t="e">
        <f>IF(#REF!="","",#REF!)</f>
        <v>#REF!</v>
      </c>
      <c r="AN262" s="1037" t="e">
        <f>IF(AND(#REF!="",#REF!=1),"",#REF!)</f>
        <v>#REF!</v>
      </c>
      <c r="AO262" s="1038" t="e">
        <f>IF(#REF!="","",#REF!)</f>
        <v>#REF!</v>
      </c>
      <c r="AP262" s="971" t="e">
        <f>IF(#REF!="","",#REF!)</f>
        <v>#REF!</v>
      </c>
      <c r="AQ262" s="1039" t="e">
        <f>IF(#REF!="","",#REF!)</f>
        <v>#REF!</v>
      </c>
      <c r="AR262" s="973" t="e">
        <f>IF(#REF!="","",#REF!)</f>
        <v>#REF!</v>
      </c>
      <c r="AS262" s="974" t="e">
        <f>IF(#REF!="","",#REF!)</f>
        <v>#REF!</v>
      </c>
      <c r="AT262" s="975" t="e">
        <f>IF(#REF!="","",#REF!)</f>
        <v>#REF!</v>
      </c>
      <c r="AU262" s="976" t="e">
        <f>IF(#REF!="","",#REF!)</f>
        <v>#REF!</v>
      </c>
      <c r="AV262" s="977" t="e">
        <f>IF(#REF!="","",#REF!)</f>
        <v>#REF!</v>
      </c>
      <c r="AW262" s="1040" t="e">
        <f>IF(#REF!="","",#REF!)</f>
        <v>#REF!</v>
      </c>
      <c r="AX262" s="987" t="e">
        <f>IF(#REF!="","",#REF!)</f>
        <v>#REF!</v>
      </c>
    </row>
    <row r="263" spans="38:50" ht="17.25" thickBot="1">
      <c r="AL263" s="1092" t="s">
        <v>466</v>
      </c>
      <c r="AM263" s="1093"/>
      <c r="AN263" s="1048" t="e">
        <f t="shared" ref="AN263:AV263" si="4">SUM(AN63:AN262)</f>
        <v>#REF!</v>
      </c>
      <c r="AO263" s="1048" t="e">
        <f t="shared" si="4"/>
        <v>#REF!</v>
      </c>
      <c r="AP263" s="1049" t="e">
        <f t="shared" si="4"/>
        <v>#REF!</v>
      </c>
      <c r="AQ263" s="1050" t="e">
        <f t="shared" si="4"/>
        <v>#REF!</v>
      </c>
      <c r="AR263" s="1051" t="e">
        <f t="shared" si="4"/>
        <v>#REF!</v>
      </c>
      <c r="AS263" s="1051" t="e">
        <f t="shared" si="4"/>
        <v>#REF!</v>
      </c>
      <c r="AT263" s="1049" t="e">
        <f t="shared" si="4"/>
        <v>#REF!</v>
      </c>
      <c r="AU263" s="1052" t="e">
        <f t="shared" si="4"/>
        <v>#REF!</v>
      </c>
      <c r="AV263" s="1052" t="e">
        <f t="shared" si="4"/>
        <v>#REF!</v>
      </c>
    </row>
    <row r="264" spans="38:50" ht="17.25" thickBot="1">
      <c r="AL264" s="1082" t="s">
        <v>467</v>
      </c>
      <c r="AM264" s="1083"/>
      <c r="AN264" s="1053" t="e">
        <f t="shared" ref="AN264:AV264" si="5">AN61+AN263</f>
        <v>#REF!</v>
      </c>
      <c r="AO264" s="1053" t="e">
        <f t="shared" si="5"/>
        <v>#REF!</v>
      </c>
      <c r="AP264" s="1054" t="e">
        <f t="shared" si="5"/>
        <v>#REF!</v>
      </c>
      <c r="AQ264" s="1055" t="e">
        <f t="shared" si="5"/>
        <v>#REF!</v>
      </c>
      <c r="AR264" s="1055" t="e">
        <f t="shared" si="5"/>
        <v>#REF!</v>
      </c>
      <c r="AS264" s="1055" t="e">
        <f t="shared" si="5"/>
        <v>#REF!</v>
      </c>
      <c r="AT264" s="1054" t="e">
        <f t="shared" si="5"/>
        <v>#REF!</v>
      </c>
      <c r="AU264" s="1052" t="e">
        <f t="shared" si="5"/>
        <v>#REF!</v>
      </c>
      <c r="AV264" s="1052" t="e">
        <f t="shared" si="5"/>
        <v>#REF!</v>
      </c>
    </row>
  </sheetData>
  <phoneticPr fontId="1" type="noConversion"/>
  <conditionalFormatting sqref="A15:B15">
    <cfRule type="expression" dxfId="62" priority="5">
      <formula>AND($AF$2=TRUE,$H$49&lt;$L$49)</formula>
    </cfRule>
    <cfRule type="expression" dxfId="61" priority="6">
      <formula>AND($AF$2=TRUE,$H$49&gt;=$L$49)</formula>
    </cfRule>
  </conditionalFormatting>
  <conditionalFormatting sqref="A17:B17">
    <cfRule type="expression" dxfId="60" priority="1">
      <formula>AND($AF$2=TRUE,$H$49&lt;$L$49)</formula>
    </cfRule>
    <cfRule type="expression" dxfId="59" priority="2">
      <formula>AND($AF$2=TRUE,$H$49&gt;=$L$49)</formula>
    </cfRule>
  </conditionalFormatting>
  <conditionalFormatting sqref="B24:B41 H24:H63 B70:B75">
    <cfRule type="cellIs" dxfId="58" priority="55" operator="lessThan">
      <formula>0</formula>
    </cfRule>
  </conditionalFormatting>
  <conditionalFormatting sqref="B51:B52">
    <cfRule type="cellIs" dxfId="57" priority="46" operator="lessThan">
      <formula>0</formula>
    </cfRule>
  </conditionalFormatting>
  <conditionalFormatting sqref="B64:B65">
    <cfRule type="cellIs" dxfId="56" priority="71" operator="lessThan">
      <formula>0</formula>
    </cfRule>
  </conditionalFormatting>
  <conditionalFormatting sqref="D14:D21">
    <cfRule type="cellIs" dxfId="55" priority="57" operator="lessThan">
      <formula>0</formula>
    </cfRule>
  </conditionalFormatting>
  <conditionalFormatting sqref="D24:D31">
    <cfRule type="cellIs" dxfId="54" priority="25" operator="lessThan">
      <formula>0</formula>
    </cfRule>
  </conditionalFormatting>
  <conditionalFormatting sqref="D33:D39">
    <cfRule type="cellIs" dxfId="53" priority="54" operator="lessThan">
      <formula>0</formula>
    </cfRule>
  </conditionalFormatting>
  <conditionalFormatting sqref="D64:D65">
    <cfRule type="cellIs" dxfId="52" priority="82" operator="lessThan">
      <formula>0</formula>
    </cfRule>
  </conditionalFormatting>
  <conditionalFormatting sqref="E70:E75">
    <cfRule type="cellIs" dxfId="51" priority="48" operator="lessThan">
      <formula>0</formula>
    </cfRule>
  </conditionalFormatting>
  <conditionalFormatting sqref="F14:F21">
    <cfRule type="cellIs" dxfId="50" priority="56" operator="lessThan">
      <formula>0</formula>
    </cfRule>
  </conditionalFormatting>
  <conditionalFormatting sqref="F24:F41">
    <cfRule type="cellIs" dxfId="49" priority="23" operator="lessThan">
      <formula>0</formula>
    </cfRule>
  </conditionalFormatting>
  <conditionalFormatting sqref="F51:F52">
    <cfRule type="cellIs" dxfId="48" priority="64" operator="lessThan">
      <formula>0</formula>
    </cfRule>
  </conditionalFormatting>
  <conditionalFormatting sqref="F64:F65">
    <cfRule type="cellIs" dxfId="47" priority="80" operator="lessThan">
      <formula>0</formula>
    </cfRule>
  </conditionalFormatting>
  <conditionalFormatting sqref="F70">
    <cfRule type="cellIs" dxfId="46" priority="79" operator="lessThan">
      <formula>0</formula>
    </cfRule>
  </conditionalFormatting>
  <conditionalFormatting sqref="F73">
    <cfRule type="cellIs" dxfId="45" priority="78" operator="lessThan">
      <formula>0</formula>
    </cfRule>
  </conditionalFormatting>
  <conditionalFormatting sqref="H14:H21">
    <cfRule type="cellIs" dxfId="44" priority="102" operator="lessThan">
      <formula>0</formula>
    </cfRule>
  </conditionalFormatting>
  <conditionalFormatting sqref="H70:H75">
    <cfRule type="cellIs" dxfId="43" priority="11" operator="lessThan">
      <formula>0</formula>
    </cfRule>
  </conditionalFormatting>
  <conditionalFormatting sqref="I70">
    <cfRule type="cellIs" dxfId="42" priority="16" operator="lessThan">
      <formula>0</formula>
    </cfRule>
  </conditionalFormatting>
  <conditionalFormatting sqref="I73">
    <cfRule type="cellIs" dxfId="41" priority="15" operator="lessThan">
      <formula>0</formula>
    </cfRule>
  </conditionalFormatting>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6656" r:id="rId4" name="Check Box 32">
              <controlPr defaultSize="0" autoFill="0" autoLine="0" autoPict="0">
                <anchor moveWithCells="1">
                  <from>
                    <xdr:col>8</xdr:col>
                    <xdr:colOff>390525</xdr:colOff>
                    <xdr:row>0</xdr:row>
                    <xdr:rowOff>209550</xdr:rowOff>
                  </from>
                  <to>
                    <xdr:col>8</xdr:col>
                    <xdr:colOff>695325</xdr:colOff>
                    <xdr:row>1</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638EC-2C98-4C56-AB1E-7F3A8F2EA182}">
  <dimension ref="A1:AJ66"/>
  <sheetViews>
    <sheetView workbookViewId="0">
      <pane xSplit="4" ySplit="1" topLeftCell="Y17" activePane="bottomRight" state="frozen"/>
      <selection pane="topRight" activeCell="E1" sqref="E1"/>
      <selection pane="bottomLeft" activeCell="A2" sqref="A2"/>
      <selection pane="bottomRight" activeCell="AF23" sqref="AF23"/>
    </sheetView>
  </sheetViews>
  <sheetFormatPr defaultRowHeight="16.5"/>
  <cols>
    <col min="1" max="1" width="4" style="565" customWidth="1"/>
    <col min="2" max="2" width="22" customWidth="1"/>
    <col min="4" max="4" width="14.75" style="201" customWidth="1"/>
    <col min="5" max="5" width="22" customWidth="1"/>
    <col min="7" max="7" width="14.75" style="201" customWidth="1"/>
    <col min="8" max="8" width="22" customWidth="1"/>
    <col min="10" max="10" width="14.75" style="201" customWidth="1"/>
    <col min="11" max="11" width="22" customWidth="1"/>
    <col min="13" max="13" width="14.75" style="201" customWidth="1"/>
    <col min="14" max="14" width="22" customWidth="1"/>
    <col min="16" max="16" width="14.75" style="201" customWidth="1"/>
    <col min="17" max="17" width="22" customWidth="1"/>
    <col min="19" max="19" width="14.75" style="201" customWidth="1"/>
    <col min="20" max="20" width="22" customWidth="1"/>
    <col min="22" max="22" width="14.75" style="201" customWidth="1"/>
    <col min="23" max="23" width="22" customWidth="1"/>
    <col min="25" max="25" width="14.75" style="201" customWidth="1"/>
    <col min="26" max="26" width="22" customWidth="1"/>
    <col min="28" max="28" width="14.75" style="201" customWidth="1"/>
    <col min="29" max="29" width="16" customWidth="1"/>
    <col min="30" max="30" width="11.625" bestFit="1" customWidth="1"/>
    <col min="31" max="31" width="11.75" bestFit="1" customWidth="1"/>
    <col min="32" max="32" width="9.375" bestFit="1" customWidth="1"/>
  </cols>
  <sheetData>
    <row r="1" spans="1:33" ht="21" thickBot="1">
      <c r="A1" s="592">
        <v>1</v>
      </c>
      <c r="B1" s="566" t="str">
        <f>IF(데이터입력!AC5=TRUE,데이터입력!$AC$4,데이터입력!$AB$2)</f>
        <v>시설</v>
      </c>
      <c r="C1" s="566">
        <f>데이터입력!$Y$8</f>
        <v>12</v>
      </c>
      <c r="D1" s="567">
        <f>데이터입력!$AF$7</f>
        <v>45</v>
      </c>
      <c r="E1" s="587"/>
      <c r="F1" s="532"/>
      <c r="G1" s="532" t="s">
        <v>468</v>
      </c>
      <c r="H1" s="531"/>
      <c r="I1" s="532"/>
      <c r="J1" s="532" t="s">
        <v>106</v>
      </c>
      <c r="K1" s="531"/>
      <c r="L1" s="532"/>
      <c r="M1" s="532" t="s">
        <v>108</v>
      </c>
      <c r="N1" s="531"/>
      <c r="O1" s="532"/>
      <c r="P1" s="532" t="s">
        <v>112</v>
      </c>
      <c r="Q1" s="531"/>
      <c r="R1" s="532"/>
      <c r="S1" s="532" t="s">
        <v>223</v>
      </c>
      <c r="T1" s="531"/>
      <c r="U1" s="532"/>
      <c r="V1" s="532" t="s">
        <v>637</v>
      </c>
      <c r="W1" s="531"/>
      <c r="X1" s="532"/>
      <c r="Y1" s="532" t="s">
        <v>225</v>
      </c>
      <c r="Z1" s="531"/>
      <c r="AA1" s="532"/>
      <c r="AB1" s="532" t="s">
        <v>227</v>
      </c>
      <c r="AC1" s="1609" t="s">
        <v>768</v>
      </c>
      <c r="AD1" s="1610"/>
      <c r="AE1" s="1611"/>
    </row>
    <row r="2" spans="1:33" ht="17.25">
      <c r="A2" s="572">
        <v>1</v>
      </c>
      <c r="B2" s="573" t="s">
        <v>5</v>
      </c>
      <c r="C2" s="574" t="s">
        <v>6</v>
      </c>
      <c r="D2" s="575">
        <f>IFERROR(ROUND(HLOOKUP($B$1,$E:$AB,A2+1,FALSE)*$C$1*데이터입력!$Y$6*$D$1,-3),0)</f>
        <v>0</v>
      </c>
      <c r="E2" s="162" t="s">
        <v>5</v>
      </c>
      <c r="F2" s="2" t="s">
        <v>6</v>
      </c>
      <c r="G2" s="200"/>
      <c r="H2" s="162" t="s">
        <v>5</v>
      </c>
      <c r="I2" s="2" t="s">
        <v>6</v>
      </c>
      <c r="J2" s="200"/>
      <c r="K2" s="162" t="s">
        <v>5</v>
      </c>
      <c r="L2" s="2" t="s">
        <v>6</v>
      </c>
      <c r="M2" s="200"/>
      <c r="N2" s="162" t="s">
        <v>5</v>
      </c>
      <c r="O2" s="2" t="s">
        <v>6</v>
      </c>
      <c r="P2" s="200"/>
      <c r="Q2" s="162" t="s">
        <v>5</v>
      </c>
      <c r="R2" s="2" t="s">
        <v>6</v>
      </c>
      <c r="S2" s="200"/>
      <c r="T2" s="162" t="s">
        <v>5</v>
      </c>
      <c r="U2" s="2" t="s">
        <v>6</v>
      </c>
      <c r="V2" s="200"/>
      <c r="W2" s="162" t="s">
        <v>5</v>
      </c>
      <c r="X2" s="2" t="s">
        <v>6</v>
      </c>
      <c r="Y2" s="200"/>
      <c r="Z2" s="162" t="s">
        <v>5</v>
      </c>
      <c r="AA2" s="2" t="s">
        <v>6</v>
      </c>
      <c r="AB2" s="1148"/>
      <c r="AC2" s="1157"/>
      <c r="AD2" s="1176" t="s">
        <v>817</v>
      </c>
      <c r="AE2" s="1176" t="s">
        <v>820</v>
      </c>
    </row>
    <row r="3" spans="1:33">
      <c r="A3" s="576">
        <v>2</v>
      </c>
      <c r="B3" s="577" t="s">
        <v>259</v>
      </c>
      <c r="C3" s="578" t="s">
        <v>6</v>
      </c>
      <c r="D3" s="575">
        <f>IFERROR(HLOOKUP($B$1,$E:$AB,A3+1,FALSE),0)</f>
        <v>3300</v>
      </c>
      <c r="E3" s="162" t="s">
        <v>489</v>
      </c>
      <c r="F3" s="2" t="s">
        <v>6</v>
      </c>
      <c r="G3" s="200">
        <v>3300</v>
      </c>
      <c r="H3" s="162" t="s">
        <v>259</v>
      </c>
      <c r="I3" s="2" t="s">
        <v>6</v>
      </c>
      <c r="J3" s="200">
        <v>3300</v>
      </c>
      <c r="K3" s="162" t="s">
        <v>259</v>
      </c>
      <c r="L3" s="2" t="s">
        <v>6</v>
      </c>
      <c r="M3" s="200">
        <v>3300</v>
      </c>
      <c r="N3" s="162" t="s">
        <v>259</v>
      </c>
      <c r="O3" s="2" t="s">
        <v>6</v>
      </c>
      <c r="P3" s="200">
        <v>3300</v>
      </c>
      <c r="Q3" s="162" t="s">
        <v>259</v>
      </c>
      <c r="R3" s="2" t="s">
        <v>6</v>
      </c>
      <c r="S3" s="200"/>
      <c r="T3" s="162" t="s">
        <v>259</v>
      </c>
      <c r="U3" s="2" t="s">
        <v>6</v>
      </c>
      <c r="V3" s="200"/>
      <c r="W3" s="162" t="s">
        <v>259</v>
      </c>
      <c r="X3" s="2" t="s">
        <v>6</v>
      </c>
      <c r="Y3" s="200"/>
      <c r="Z3" s="162" t="s">
        <v>259</v>
      </c>
      <c r="AA3" s="2" t="s">
        <v>6</v>
      </c>
      <c r="AB3" s="1148"/>
      <c r="AC3" s="1151" t="s">
        <v>769</v>
      </c>
      <c r="AD3" s="1149">
        <v>4.4999999999999998E-2</v>
      </c>
      <c r="AE3" s="1152">
        <v>4.7500000000000001E-2</v>
      </c>
    </row>
    <row r="4" spans="1:33">
      <c r="A4" s="576">
        <v>3</v>
      </c>
      <c r="B4" s="577" t="s">
        <v>8</v>
      </c>
      <c r="C4" s="578" t="s">
        <v>6</v>
      </c>
      <c r="D4" s="575">
        <f>IFERROR(ROUND(HLOOKUP($B$1,$E:$AB,A4+1,FALSE)*$C$1*데이터입력!$Y$6*$D$1,-3),0)</f>
        <v>0</v>
      </c>
      <c r="E4" s="162" t="s">
        <v>8</v>
      </c>
      <c r="F4" s="2" t="s">
        <v>6</v>
      </c>
      <c r="G4" s="200"/>
      <c r="H4" s="162" t="s">
        <v>8</v>
      </c>
      <c r="I4" s="2" t="s">
        <v>6</v>
      </c>
      <c r="J4" s="200"/>
      <c r="K4" s="162" t="s">
        <v>8</v>
      </c>
      <c r="L4" s="2" t="s">
        <v>6</v>
      </c>
      <c r="M4" s="200"/>
      <c r="N4" s="162" t="s">
        <v>8</v>
      </c>
      <c r="O4" s="2" t="s">
        <v>6</v>
      </c>
      <c r="P4" s="200"/>
      <c r="Q4" s="162" t="s">
        <v>8</v>
      </c>
      <c r="R4" s="2" t="s">
        <v>6</v>
      </c>
      <c r="S4" s="200"/>
      <c r="T4" s="162" t="s">
        <v>8</v>
      </c>
      <c r="U4" s="2" t="s">
        <v>6</v>
      </c>
      <c r="V4" s="200"/>
      <c r="W4" s="162" t="s">
        <v>8</v>
      </c>
      <c r="X4" s="2" t="s">
        <v>6</v>
      </c>
      <c r="Y4" s="200"/>
      <c r="Z4" s="162" t="s">
        <v>8</v>
      </c>
      <c r="AA4" s="2" t="s">
        <v>6</v>
      </c>
      <c r="AB4" s="1148"/>
      <c r="AC4" s="1151" t="s">
        <v>770</v>
      </c>
      <c r="AD4" s="1150">
        <v>3.5450000000000002E-2</v>
      </c>
      <c r="AE4" s="1153">
        <v>3.5950000000000003E-2</v>
      </c>
    </row>
    <row r="5" spans="1:33">
      <c r="A5" s="576">
        <v>4</v>
      </c>
      <c r="B5" s="577" t="s">
        <v>9</v>
      </c>
      <c r="C5" s="578" t="s">
        <v>6</v>
      </c>
      <c r="D5" s="575">
        <f>IFERROR(ROUND(HLOOKUP($B$1,$E:$AB,A5+1,FALSE)*$C$1*데이터입력!$Y$6*$D$1,-3),0)</f>
        <v>0</v>
      </c>
      <c r="E5" s="162" t="s">
        <v>9</v>
      </c>
      <c r="F5" s="2" t="s">
        <v>6</v>
      </c>
      <c r="G5" s="200"/>
      <c r="H5" s="162" t="s">
        <v>9</v>
      </c>
      <c r="I5" s="2" t="s">
        <v>6</v>
      </c>
      <c r="J5" s="200"/>
      <c r="K5" s="162" t="s">
        <v>9</v>
      </c>
      <c r="L5" s="2" t="s">
        <v>6</v>
      </c>
      <c r="M5" s="200"/>
      <c r="N5" s="162" t="s">
        <v>9</v>
      </c>
      <c r="O5" s="2" t="s">
        <v>6</v>
      </c>
      <c r="P5" s="200"/>
      <c r="Q5" s="162" t="s">
        <v>9</v>
      </c>
      <c r="R5" s="2" t="s">
        <v>6</v>
      </c>
      <c r="S5" s="200"/>
      <c r="T5" s="162" t="s">
        <v>9</v>
      </c>
      <c r="U5" s="2" t="s">
        <v>6</v>
      </c>
      <c r="V5" s="200"/>
      <c r="W5" s="162" t="s">
        <v>9</v>
      </c>
      <c r="X5" s="2" t="s">
        <v>6</v>
      </c>
      <c r="Y5" s="200"/>
      <c r="Z5" s="162" t="s">
        <v>9</v>
      </c>
      <c r="AA5" s="2" t="s">
        <v>6</v>
      </c>
      <c r="AB5" s="1148"/>
      <c r="AC5" s="1151" t="s">
        <v>771</v>
      </c>
      <c r="AD5" s="1149">
        <v>0.1295</v>
      </c>
      <c r="AE5" s="1152">
        <v>0.13139999999999999</v>
      </c>
    </row>
    <row r="6" spans="1:33">
      <c r="A6" s="576">
        <v>5</v>
      </c>
      <c r="B6" s="577" t="s">
        <v>10</v>
      </c>
      <c r="C6" s="578" t="s">
        <v>6</v>
      </c>
      <c r="D6" s="575">
        <f>IFERROR(IF(OR(AND(VLOOKUP(B6,데이터입력!$B$3:$L$28,6,FALSE)=0,SUM(데이터입력!$L$3:$L$28)&gt;0),IFERROR(IF(OR($B$1=$G$1,$B$1=$M$1,$D$1&gt;34),ROUND($D$1/10*HLOOKUP($B$1,$E:$AB,A6+1,FALSE)*$C$1*$A$1,0),IF(OR($B$1=$G$1,$B$1=$M$1),ROUND(($D$1/10*HLOOKUP($B$1,$E:$AB,A6+1,FALSE)*$C$1),0),ROUND($D$1/10,1)*HLOOKUP($B$1,$E:$AB,A6+1,FALSE)*$C$1)),0)&lt;VLOOKUP(B6,데이터입력!$B$3:$L$28,6,FALSE)),ROUND(VLOOKUP(B6,데이터입력!$B$3:$L$28,6,FALSE)*데이터입력!$Y$6,0),IFERROR(IF(OR($B$1=$G$1,$B$1=$M$1,$D$1&gt;34),ROUND($D$1/10*HLOOKUP($B$1,$E:$AB,A6+1,FALSE)*$C$1*$A$1,0),IF(OR($B$1=$G$1,$B$1=$M$1),ROUND(($D$1/10*HLOOKUP($B$1,$E:$AB,A6+1,FALSE)*$C$1),0),ROUND($D$1/10,1)*HLOOKUP($B$1,$E:$AB,A6+1,FALSE)*$C$1)),0)),0)</f>
        <v>36000000</v>
      </c>
      <c r="E6" s="162" t="s">
        <v>10</v>
      </c>
      <c r="F6" s="2" t="s">
        <v>6</v>
      </c>
      <c r="G6" s="200">
        <v>200000</v>
      </c>
      <c r="H6" s="162" t="s">
        <v>10</v>
      </c>
      <c r="I6" s="2" t="s">
        <v>6</v>
      </c>
      <c r="J6" s="200">
        <v>100000</v>
      </c>
      <c r="K6" s="162" t="s">
        <v>10</v>
      </c>
      <c r="L6" s="2" t="s">
        <v>6</v>
      </c>
      <c r="M6" s="200">
        <v>150000</v>
      </c>
      <c r="N6" s="162" t="s">
        <v>10</v>
      </c>
      <c r="O6" s="2" t="s">
        <v>6</v>
      </c>
      <c r="P6" s="200">
        <v>100000</v>
      </c>
      <c r="Q6" s="162" t="s">
        <v>10</v>
      </c>
      <c r="R6" s="2" t="s">
        <v>6</v>
      </c>
      <c r="S6" s="200"/>
      <c r="T6" s="162" t="s">
        <v>10</v>
      </c>
      <c r="U6" s="2" t="s">
        <v>6</v>
      </c>
      <c r="V6" s="200"/>
      <c r="W6" s="162" t="s">
        <v>10</v>
      </c>
      <c r="X6" s="2" t="s">
        <v>6</v>
      </c>
      <c r="Y6" s="200"/>
      <c r="Z6" s="162" t="s">
        <v>10</v>
      </c>
      <c r="AA6" s="2" t="s">
        <v>6</v>
      </c>
      <c r="AB6" s="1148"/>
      <c r="AC6" s="1151" t="s">
        <v>772</v>
      </c>
      <c r="AD6" s="1149">
        <v>8.9999999999999993E-3</v>
      </c>
      <c r="AE6" s="1152">
        <v>8.9999999999999993E-3</v>
      </c>
    </row>
    <row r="7" spans="1:33">
      <c r="A7" s="576">
        <v>6</v>
      </c>
      <c r="B7" s="577" t="s">
        <v>11</v>
      </c>
      <c r="C7" s="578" t="s">
        <v>6</v>
      </c>
      <c r="D7" s="575">
        <f>IFERROR(ROUND(HLOOKUP($B$1,$E:$AB,A7+1,FALSE)*$C$1*데이터입력!$Y$6*$D$1,-3),0)</f>
        <v>0</v>
      </c>
      <c r="E7" s="162" t="s">
        <v>11</v>
      </c>
      <c r="F7" s="2" t="s">
        <v>6</v>
      </c>
      <c r="G7" s="200"/>
      <c r="H7" s="162" t="s">
        <v>11</v>
      </c>
      <c r="I7" s="2" t="s">
        <v>6</v>
      </c>
      <c r="J7" s="200"/>
      <c r="K7" s="162" t="s">
        <v>11</v>
      </c>
      <c r="L7" s="2" t="s">
        <v>6</v>
      </c>
      <c r="M7" s="200"/>
      <c r="N7" s="162" t="s">
        <v>11</v>
      </c>
      <c r="O7" s="2" t="s">
        <v>6</v>
      </c>
      <c r="P7" s="200"/>
      <c r="Q7" s="162" t="s">
        <v>11</v>
      </c>
      <c r="R7" s="2" t="s">
        <v>6</v>
      </c>
      <c r="S7" s="200"/>
      <c r="T7" s="162" t="s">
        <v>11</v>
      </c>
      <c r="U7" s="2" t="s">
        <v>6</v>
      </c>
      <c r="V7" s="200"/>
      <c r="W7" s="162" t="s">
        <v>11</v>
      </c>
      <c r="X7" s="2" t="s">
        <v>6</v>
      </c>
      <c r="Y7" s="200"/>
      <c r="Z7" s="162" t="s">
        <v>11</v>
      </c>
      <c r="AA7" s="2" t="s">
        <v>6</v>
      </c>
      <c r="AB7" s="1148"/>
      <c r="AC7" s="1151" t="s">
        <v>773</v>
      </c>
      <c r="AD7" s="1149">
        <v>1.15E-2</v>
      </c>
      <c r="AE7" s="1152">
        <v>1.15E-2</v>
      </c>
    </row>
    <row r="8" spans="1:33" ht="17.25" thickBot="1">
      <c r="A8" s="576">
        <v>7</v>
      </c>
      <c r="B8" s="577" t="s">
        <v>12</v>
      </c>
      <c r="C8" s="578" t="s">
        <v>6</v>
      </c>
      <c r="D8" s="575">
        <f>IFERROR(ROUND(HLOOKUP($B$1,$E:$AB,A8+1,FALSE)*$C$1*데이터입력!$Y$6*$D$1,-3),0)</f>
        <v>0</v>
      </c>
      <c r="E8" s="162" t="s">
        <v>12</v>
      </c>
      <c r="F8" s="2" t="s">
        <v>6</v>
      </c>
      <c r="G8" s="200"/>
      <c r="H8" s="162" t="s">
        <v>12</v>
      </c>
      <c r="I8" s="2" t="s">
        <v>6</v>
      </c>
      <c r="J8" s="200"/>
      <c r="K8" s="162" t="s">
        <v>12</v>
      </c>
      <c r="L8" s="2" t="s">
        <v>6</v>
      </c>
      <c r="M8" s="200"/>
      <c r="N8" s="162" t="s">
        <v>12</v>
      </c>
      <c r="O8" s="2" t="s">
        <v>6</v>
      </c>
      <c r="P8" s="200"/>
      <c r="Q8" s="162" t="s">
        <v>12</v>
      </c>
      <c r="R8" s="2" t="s">
        <v>6</v>
      </c>
      <c r="S8" s="200"/>
      <c r="T8" s="162" t="s">
        <v>12</v>
      </c>
      <c r="U8" s="2" t="s">
        <v>6</v>
      </c>
      <c r="V8" s="200"/>
      <c r="W8" s="162" t="s">
        <v>12</v>
      </c>
      <c r="X8" s="2" t="s">
        <v>6</v>
      </c>
      <c r="Y8" s="200"/>
      <c r="Z8" s="162" t="s">
        <v>12</v>
      </c>
      <c r="AA8" s="2" t="s">
        <v>6</v>
      </c>
      <c r="AB8" s="1148"/>
      <c r="AC8" s="1154" t="s">
        <v>774</v>
      </c>
      <c r="AD8" s="1155">
        <v>8.0999999999999996E-3</v>
      </c>
      <c r="AE8" s="1156">
        <v>8.0999999999999996E-3</v>
      </c>
    </row>
    <row r="9" spans="1:33" ht="17.25" thickBot="1">
      <c r="A9" s="576">
        <v>8</v>
      </c>
      <c r="B9" s="577" t="s">
        <v>13</v>
      </c>
      <c r="C9" s="578" t="s">
        <v>6</v>
      </c>
      <c r="D9" s="575">
        <f>IFERROR(ROUND(HLOOKUP($B$1,$E:$AB,A9+1,FALSE)*$C$1*데이터입력!$Y$6*$D$1,-3),0)</f>
        <v>0</v>
      </c>
      <c r="E9" s="162" t="s">
        <v>13</v>
      </c>
      <c r="F9" s="2" t="s">
        <v>6</v>
      </c>
      <c r="G9" s="200"/>
      <c r="H9" s="162" t="s">
        <v>13</v>
      </c>
      <c r="I9" s="2" t="s">
        <v>6</v>
      </c>
      <c r="J9" s="200"/>
      <c r="K9" s="162" t="s">
        <v>13</v>
      </c>
      <c r="L9" s="2" t="s">
        <v>6</v>
      </c>
      <c r="M9" s="200"/>
      <c r="N9" s="162" t="s">
        <v>13</v>
      </c>
      <c r="O9" s="2" t="s">
        <v>6</v>
      </c>
      <c r="P9" s="200"/>
      <c r="Q9" s="162" t="s">
        <v>13</v>
      </c>
      <c r="R9" s="2" t="s">
        <v>6</v>
      </c>
      <c r="S9" s="200"/>
      <c r="T9" s="162" t="s">
        <v>13</v>
      </c>
      <c r="U9" s="2" t="s">
        <v>6</v>
      </c>
      <c r="V9" s="200"/>
      <c r="W9" s="162" t="s">
        <v>13</v>
      </c>
      <c r="X9" s="2" t="s">
        <v>6</v>
      </c>
      <c r="Y9" s="200"/>
      <c r="Z9" s="162" t="s">
        <v>13</v>
      </c>
      <c r="AA9" s="2" t="s">
        <v>6</v>
      </c>
      <c r="AB9" s="200"/>
    </row>
    <row r="10" spans="1:33" ht="17.25">
      <c r="A10" s="576">
        <v>9</v>
      </c>
      <c r="B10" s="577" t="s">
        <v>15</v>
      </c>
      <c r="C10" s="578" t="s">
        <v>6</v>
      </c>
      <c r="D10" s="575">
        <f>IFERROR(ROUND(HLOOKUP($B$1,$E:$AB,A10+1,FALSE)*$C$1*데이터입력!$Y$6*$D$1,-3),0)</f>
        <v>0</v>
      </c>
      <c r="E10" s="162" t="s">
        <v>15</v>
      </c>
      <c r="F10" s="2" t="s">
        <v>6</v>
      </c>
      <c r="G10" s="200"/>
      <c r="H10" s="162" t="s">
        <v>15</v>
      </c>
      <c r="I10" s="2" t="s">
        <v>6</v>
      </c>
      <c r="J10" s="200"/>
      <c r="K10" s="162" t="s">
        <v>15</v>
      </c>
      <c r="L10" s="2" t="s">
        <v>6</v>
      </c>
      <c r="M10" s="200"/>
      <c r="N10" s="162" t="s">
        <v>15</v>
      </c>
      <c r="O10" s="2" t="s">
        <v>6</v>
      </c>
      <c r="P10" s="200"/>
      <c r="Q10" s="162" t="s">
        <v>15</v>
      </c>
      <c r="R10" s="2" t="s">
        <v>6</v>
      </c>
      <c r="S10" s="200"/>
      <c r="T10" s="162" t="s">
        <v>15</v>
      </c>
      <c r="U10" s="2" t="s">
        <v>6</v>
      </c>
      <c r="V10" s="200"/>
      <c r="W10" s="162" t="s">
        <v>15</v>
      </c>
      <c r="X10" s="2" t="s">
        <v>6</v>
      </c>
      <c r="Y10" s="200"/>
      <c r="Z10" s="162" t="s">
        <v>15</v>
      </c>
      <c r="AA10" s="2" t="s">
        <v>6</v>
      </c>
      <c r="AB10" s="1148"/>
      <c r="AC10" s="1612" t="s">
        <v>230</v>
      </c>
      <c r="AD10" s="1613"/>
      <c r="AE10" s="1613"/>
      <c r="AF10" s="1614"/>
    </row>
    <row r="11" spans="1:33" ht="17.25">
      <c r="A11" s="576">
        <v>10</v>
      </c>
      <c r="B11" s="577" t="s">
        <v>16</v>
      </c>
      <c r="C11" s="578" t="s">
        <v>6</v>
      </c>
      <c r="D11" s="575">
        <f>IFERROR(ROUND(HLOOKUP($B$1,$E:$AB,A11+1,FALSE)*$C$1*데이터입력!$Y$6*$D$1,-3),0)</f>
        <v>0</v>
      </c>
      <c r="E11" s="162" t="s">
        <v>16</v>
      </c>
      <c r="F11" s="2" t="s">
        <v>6</v>
      </c>
      <c r="G11" s="200"/>
      <c r="H11" s="162" t="s">
        <v>16</v>
      </c>
      <c r="I11" s="2" t="s">
        <v>6</v>
      </c>
      <c r="J11" s="200"/>
      <c r="K11" s="162" t="s">
        <v>16</v>
      </c>
      <c r="L11" s="2" t="s">
        <v>6</v>
      </c>
      <c r="M11" s="200"/>
      <c r="N11" s="162" t="s">
        <v>16</v>
      </c>
      <c r="O11" s="2" t="s">
        <v>6</v>
      </c>
      <c r="P11" s="200"/>
      <c r="Q11" s="162" t="s">
        <v>16</v>
      </c>
      <c r="R11" s="2" t="s">
        <v>6</v>
      </c>
      <c r="S11" s="200"/>
      <c r="T11" s="162" t="s">
        <v>16</v>
      </c>
      <c r="U11" s="2" t="s">
        <v>6</v>
      </c>
      <c r="V11" s="200"/>
      <c r="W11" s="162" t="s">
        <v>16</v>
      </c>
      <c r="X11" s="2" t="s">
        <v>6</v>
      </c>
      <c r="Y11" s="200"/>
      <c r="Z11" s="162" t="s">
        <v>16</v>
      </c>
      <c r="AA11" s="2" t="s">
        <v>6</v>
      </c>
      <c r="AB11" s="1148"/>
      <c r="AC11" s="1151"/>
      <c r="AD11" s="1175" t="s">
        <v>821</v>
      </c>
      <c r="AE11" s="1176" t="s">
        <v>820</v>
      </c>
      <c r="AF11" s="1163" t="s">
        <v>245</v>
      </c>
      <c r="AG11" s="1163" t="s">
        <v>823</v>
      </c>
    </row>
    <row r="12" spans="1:33">
      <c r="A12" s="576">
        <v>11</v>
      </c>
      <c r="B12" s="577" t="s">
        <v>17</v>
      </c>
      <c r="C12" s="578" t="s">
        <v>6</v>
      </c>
      <c r="D12" s="575">
        <f>IFERROR(ROUND(HLOOKUP($B$1,$E:$AB,A12+1,FALSE)*$C$1*데이터입력!$Y$6*$D$1,-3),0)</f>
        <v>0</v>
      </c>
      <c r="E12" s="162" t="s">
        <v>17</v>
      </c>
      <c r="F12" s="2" t="s">
        <v>6</v>
      </c>
      <c r="G12" s="200"/>
      <c r="H12" s="162" t="s">
        <v>17</v>
      </c>
      <c r="I12" s="2" t="s">
        <v>6</v>
      </c>
      <c r="J12" s="200"/>
      <c r="K12" s="162" t="s">
        <v>17</v>
      </c>
      <c r="L12" s="2" t="s">
        <v>6</v>
      </c>
      <c r="M12" s="200"/>
      <c r="N12" s="162" t="s">
        <v>17</v>
      </c>
      <c r="O12" s="2" t="s">
        <v>6</v>
      </c>
      <c r="P12" s="200"/>
      <c r="Q12" s="162" t="s">
        <v>17</v>
      </c>
      <c r="R12" s="2" t="s">
        <v>6</v>
      </c>
      <c r="S12" s="200"/>
      <c r="T12" s="162" t="s">
        <v>17</v>
      </c>
      <c r="U12" s="2" t="s">
        <v>6</v>
      </c>
      <c r="V12" s="200"/>
      <c r="W12" s="162" t="s">
        <v>17</v>
      </c>
      <c r="X12" s="2" t="s">
        <v>6</v>
      </c>
      <c r="Y12" s="200"/>
      <c r="Z12" s="162" t="s">
        <v>17</v>
      </c>
      <c r="AA12" s="2" t="s">
        <v>6</v>
      </c>
      <c r="AB12" s="1148"/>
      <c r="AC12" s="1151" t="s">
        <v>102</v>
      </c>
      <c r="AD12" s="1158">
        <v>0.625</v>
      </c>
      <c r="AE12" s="1158">
        <f>AD12+0.01</f>
        <v>0.63500000000000001</v>
      </c>
      <c r="AF12" s="1159">
        <v>2.1</v>
      </c>
      <c r="AG12" s="1159"/>
    </row>
    <row r="13" spans="1:33" ht="22.5">
      <c r="A13" s="576">
        <v>12</v>
      </c>
      <c r="B13" s="577" t="s">
        <v>21</v>
      </c>
      <c r="C13" s="578" t="s">
        <v>6</v>
      </c>
      <c r="D13" s="575">
        <f>IFERROR(ROUND(HLOOKUP($B$1,$E:$AB,A13+1,FALSE)*$C$1*데이터입력!$Y$6*$D$1,-3),0)</f>
        <v>0</v>
      </c>
      <c r="E13" s="162" t="s">
        <v>21</v>
      </c>
      <c r="F13" s="2" t="s">
        <v>6</v>
      </c>
      <c r="G13" s="200"/>
      <c r="H13" s="162" t="s">
        <v>21</v>
      </c>
      <c r="I13" s="2" t="s">
        <v>6</v>
      </c>
      <c r="J13" s="200"/>
      <c r="K13" s="162" t="s">
        <v>21</v>
      </c>
      <c r="L13" s="2" t="s">
        <v>6</v>
      </c>
      <c r="M13" s="200"/>
      <c r="N13" s="162" t="s">
        <v>21</v>
      </c>
      <c r="O13" s="2" t="s">
        <v>6</v>
      </c>
      <c r="P13" s="200"/>
      <c r="Q13" s="162" t="s">
        <v>21</v>
      </c>
      <c r="R13" s="2" t="s">
        <v>6</v>
      </c>
      <c r="S13" s="200"/>
      <c r="T13" s="162" t="s">
        <v>21</v>
      </c>
      <c r="U13" s="2" t="s">
        <v>6</v>
      </c>
      <c r="V13" s="200"/>
      <c r="W13" s="162" t="s">
        <v>21</v>
      </c>
      <c r="X13" s="2" t="s">
        <v>6</v>
      </c>
      <c r="Y13" s="200"/>
      <c r="Z13" s="162" t="s">
        <v>21</v>
      </c>
      <c r="AA13" s="2" t="s">
        <v>6</v>
      </c>
      <c r="AB13" s="1148"/>
      <c r="AC13" s="1151" t="s">
        <v>106</v>
      </c>
      <c r="AD13" s="1158">
        <v>0.65100000000000002</v>
      </c>
      <c r="AE13" s="1158">
        <f t="shared" ref="AE13:AE18" si="0">AD13+0.01</f>
        <v>0.66100000000000003</v>
      </c>
      <c r="AF13" s="1159">
        <v>3</v>
      </c>
      <c r="AG13" s="1159"/>
    </row>
    <row r="14" spans="1:33" ht="22.5">
      <c r="A14" s="576">
        <v>13</v>
      </c>
      <c r="B14" s="577" t="s">
        <v>22</v>
      </c>
      <c r="C14" s="578" t="s">
        <v>6</v>
      </c>
      <c r="D14" s="575">
        <f>IFERROR(ROUND(HLOOKUP($B$1,$E:$AB,A14+1,FALSE)*$C$1*데이터입력!$Y$6*$D$1,-3),0)</f>
        <v>0</v>
      </c>
      <c r="E14" s="162" t="s">
        <v>22</v>
      </c>
      <c r="F14" s="2" t="s">
        <v>6</v>
      </c>
      <c r="G14" s="200"/>
      <c r="H14" s="162" t="s">
        <v>22</v>
      </c>
      <c r="I14" s="2" t="s">
        <v>6</v>
      </c>
      <c r="J14" s="200"/>
      <c r="K14" s="162" t="s">
        <v>22</v>
      </c>
      <c r="L14" s="2" t="s">
        <v>6</v>
      </c>
      <c r="M14" s="200"/>
      <c r="N14" s="162" t="s">
        <v>22</v>
      </c>
      <c r="O14" s="2" t="s">
        <v>6</v>
      </c>
      <c r="P14" s="200"/>
      <c r="Q14" s="162" t="s">
        <v>22</v>
      </c>
      <c r="R14" s="2" t="s">
        <v>6</v>
      </c>
      <c r="S14" s="200"/>
      <c r="T14" s="162" t="s">
        <v>22</v>
      </c>
      <c r="U14" s="2" t="s">
        <v>6</v>
      </c>
      <c r="V14" s="200"/>
      <c r="W14" s="162" t="s">
        <v>22</v>
      </c>
      <c r="X14" s="2" t="s">
        <v>6</v>
      </c>
      <c r="Y14" s="200"/>
      <c r="Z14" s="162" t="s">
        <v>22</v>
      </c>
      <c r="AA14" s="2" t="s">
        <v>6</v>
      </c>
      <c r="AB14" s="1148"/>
      <c r="AC14" s="1151" t="s">
        <v>108</v>
      </c>
      <c r="AD14" s="1158">
        <v>0.48499999999999999</v>
      </c>
      <c r="AE14" s="1158">
        <f t="shared" si="0"/>
        <v>0.495</v>
      </c>
      <c r="AF14" s="1159">
        <v>7</v>
      </c>
      <c r="AG14" s="1159">
        <v>4</v>
      </c>
    </row>
    <row r="15" spans="1:33">
      <c r="A15" s="576">
        <v>14</v>
      </c>
      <c r="B15" s="577" t="s">
        <v>23</v>
      </c>
      <c r="C15" s="578" t="s">
        <v>6</v>
      </c>
      <c r="D15" s="575">
        <f>IFERROR(ROUND(HLOOKUP($B$1,$E:$AB,A15+1,FALSE)*$C$1*데이터입력!$Y$6*$D$1,-3),0)</f>
        <v>0</v>
      </c>
      <c r="E15" s="162" t="s">
        <v>23</v>
      </c>
      <c r="F15" s="2" t="s">
        <v>6</v>
      </c>
      <c r="G15" s="200"/>
      <c r="H15" s="162" t="s">
        <v>23</v>
      </c>
      <c r="I15" s="2" t="s">
        <v>6</v>
      </c>
      <c r="J15" s="200"/>
      <c r="K15" s="162" t="s">
        <v>23</v>
      </c>
      <c r="L15" s="2" t="s">
        <v>6</v>
      </c>
      <c r="M15" s="200"/>
      <c r="N15" s="162" t="s">
        <v>23</v>
      </c>
      <c r="O15" s="2" t="s">
        <v>6</v>
      </c>
      <c r="P15" s="200"/>
      <c r="Q15" s="162" t="s">
        <v>23</v>
      </c>
      <c r="R15" s="2" t="s">
        <v>6</v>
      </c>
      <c r="S15" s="200"/>
      <c r="T15" s="162" t="s">
        <v>23</v>
      </c>
      <c r="U15" s="2" t="s">
        <v>6</v>
      </c>
      <c r="V15" s="200"/>
      <c r="W15" s="162" t="s">
        <v>23</v>
      </c>
      <c r="X15" s="2" t="s">
        <v>6</v>
      </c>
      <c r="Y15" s="200"/>
      <c r="Z15" s="162" t="s">
        <v>23</v>
      </c>
      <c r="AA15" s="2" t="s">
        <v>6</v>
      </c>
      <c r="AB15" s="1148"/>
      <c r="AC15" s="1151" t="s">
        <v>112</v>
      </c>
      <c r="AD15" s="1158">
        <v>0.58799999999999997</v>
      </c>
      <c r="AE15" s="1158">
        <f t="shared" si="0"/>
        <v>0.59799999999999998</v>
      </c>
      <c r="AF15" s="1159">
        <v>4</v>
      </c>
      <c r="AG15" s="1159"/>
    </row>
    <row r="16" spans="1:33" ht="22.5">
      <c r="A16" s="576">
        <v>15</v>
      </c>
      <c r="B16" s="577" t="s">
        <v>24</v>
      </c>
      <c r="C16" s="578" t="s">
        <v>6</v>
      </c>
      <c r="D16" s="575">
        <f>IFERROR(ROUND(HLOOKUP($B$1,$E:$AB,A16+1,FALSE)*$C$1*데이터입력!$Y$6*$D$1,-3),0)</f>
        <v>0</v>
      </c>
      <c r="E16" s="162" t="s">
        <v>24</v>
      </c>
      <c r="F16" s="2" t="s">
        <v>6</v>
      </c>
      <c r="G16" s="200"/>
      <c r="H16" s="162" t="s">
        <v>24</v>
      </c>
      <c r="I16" s="2" t="s">
        <v>6</v>
      </c>
      <c r="J16" s="200"/>
      <c r="K16" s="162" t="s">
        <v>24</v>
      </c>
      <c r="L16" s="2" t="s">
        <v>6</v>
      </c>
      <c r="M16" s="200"/>
      <c r="N16" s="162" t="s">
        <v>24</v>
      </c>
      <c r="O16" s="2" t="s">
        <v>6</v>
      </c>
      <c r="P16" s="200"/>
      <c r="Q16" s="162" t="s">
        <v>24</v>
      </c>
      <c r="R16" s="2" t="s">
        <v>6</v>
      </c>
      <c r="S16" s="200"/>
      <c r="T16" s="162" t="s">
        <v>24</v>
      </c>
      <c r="U16" s="2" t="s">
        <v>6</v>
      </c>
      <c r="V16" s="200"/>
      <c r="W16" s="162" t="s">
        <v>24</v>
      </c>
      <c r="X16" s="2" t="s">
        <v>6</v>
      </c>
      <c r="Y16" s="200"/>
      <c r="Z16" s="162" t="s">
        <v>24</v>
      </c>
      <c r="AA16" s="2" t="s">
        <v>6</v>
      </c>
      <c r="AB16" s="1148"/>
      <c r="AC16" s="1151" t="s">
        <v>223</v>
      </c>
      <c r="AD16" s="1158">
        <v>0.86599999999999999</v>
      </c>
      <c r="AE16" s="1158">
        <f t="shared" si="0"/>
        <v>0.876</v>
      </c>
      <c r="AF16" s="1159">
        <v>1.5</v>
      </c>
      <c r="AG16" s="1159"/>
    </row>
    <row r="17" spans="1:36">
      <c r="A17" s="576">
        <v>16</v>
      </c>
      <c r="B17" s="577" t="s">
        <v>25</v>
      </c>
      <c r="C17" s="578" t="s">
        <v>6</v>
      </c>
      <c r="D17" s="575">
        <f>IFERROR(ROUND(HLOOKUP($B$1,$E:$AB,A17+1,FALSE)*$C$1*데이터입력!$Y$6*$D$1,-3),0)</f>
        <v>0</v>
      </c>
      <c r="E17" s="162" t="s">
        <v>25</v>
      </c>
      <c r="F17" s="2" t="s">
        <v>6</v>
      </c>
      <c r="G17" s="200"/>
      <c r="H17" s="162" t="s">
        <v>25</v>
      </c>
      <c r="I17" s="2" t="s">
        <v>6</v>
      </c>
      <c r="J17" s="200"/>
      <c r="K17" s="162" t="s">
        <v>25</v>
      </c>
      <c r="L17" s="2" t="s">
        <v>6</v>
      </c>
      <c r="M17" s="200"/>
      <c r="N17" s="162" t="s">
        <v>25</v>
      </c>
      <c r="O17" s="2" t="s">
        <v>6</v>
      </c>
      <c r="P17" s="200"/>
      <c r="Q17" s="162" t="s">
        <v>25</v>
      </c>
      <c r="R17" s="2" t="s">
        <v>6</v>
      </c>
      <c r="S17" s="200"/>
      <c r="T17" s="162" t="s">
        <v>25</v>
      </c>
      <c r="U17" s="2" t="s">
        <v>6</v>
      </c>
      <c r="V17" s="200"/>
      <c r="W17" s="162" t="s">
        <v>25</v>
      </c>
      <c r="X17" s="2" t="s">
        <v>6</v>
      </c>
      <c r="Y17" s="200"/>
      <c r="Z17" s="162" t="s">
        <v>25</v>
      </c>
      <c r="AA17" s="2" t="s">
        <v>6</v>
      </c>
      <c r="AB17" s="1148"/>
      <c r="AC17" s="1151" t="s">
        <v>225</v>
      </c>
      <c r="AD17" s="1158">
        <v>0.496</v>
      </c>
      <c r="AE17" s="1158">
        <f t="shared" si="0"/>
        <v>0.50600000000000001</v>
      </c>
      <c r="AF17" s="1159">
        <v>2</v>
      </c>
      <c r="AG17" s="1159"/>
    </row>
    <row r="18" spans="1:36" ht="17.25" thickBot="1">
      <c r="A18" s="576">
        <v>17</v>
      </c>
      <c r="B18" s="577" t="s">
        <v>26</v>
      </c>
      <c r="C18" s="578" t="s">
        <v>6</v>
      </c>
      <c r="D18" s="575">
        <f>IFERROR(ROUND(HLOOKUP($B$1,$E:$AB,A18+1,FALSE)*$C$1*데이터입력!$Y$6*$D$1,-3),0)</f>
        <v>0</v>
      </c>
      <c r="E18" s="162" t="s">
        <v>26</v>
      </c>
      <c r="F18" s="2" t="s">
        <v>6</v>
      </c>
      <c r="G18" s="200"/>
      <c r="H18" s="162" t="s">
        <v>26</v>
      </c>
      <c r="I18" s="2" t="s">
        <v>6</v>
      </c>
      <c r="J18" s="200"/>
      <c r="K18" s="162" t="s">
        <v>26</v>
      </c>
      <c r="L18" s="2" t="s">
        <v>6</v>
      </c>
      <c r="M18" s="200"/>
      <c r="N18" s="162" t="s">
        <v>26</v>
      </c>
      <c r="O18" s="2" t="s">
        <v>6</v>
      </c>
      <c r="P18" s="200"/>
      <c r="Q18" s="162" t="s">
        <v>26</v>
      </c>
      <c r="R18" s="2" t="s">
        <v>6</v>
      </c>
      <c r="S18" s="200"/>
      <c r="T18" s="162" t="s">
        <v>26</v>
      </c>
      <c r="U18" s="2" t="s">
        <v>6</v>
      </c>
      <c r="V18" s="200"/>
      <c r="W18" s="162" t="s">
        <v>26</v>
      </c>
      <c r="X18" s="2" t="s">
        <v>6</v>
      </c>
      <c r="Y18" s="200"/>
      <c r="Z18" s="162" t="s">
        <v>26</v>
      </c>
      <c r="AA18" s="2" t="s">
        <v>6</v>
      </c>
      <c r="AB18" s="1148"/>
      <c r="AC18" s="1154" t="s">
        <v>227</v>
      </c>
      <c r="AD18" s="1160">
        <v>0.60099999999999998</v>
      </c>
      <c r="AE18" s="1158">
        <f t="shared" si="0"/>
        <v>0.61099999999999999</v>
      </c>
      <c r="AF18" s="1161">
        <v>1.5</v>
      </c>
      <c r="AG18" s="1161"/>
    </row>
    <row r="19" spans="1:36" ht="17.25" thickBot="1">
      <c r="A19" s="576">
        <v>18</v>
      </c>
      <c r="B19" s="577" t="s">
        <v>27</v>
      </c>
      <c r="C19" s="578" t="s">
        <v>6</v>
      </c>
      <c r="D19" s="575">
        <f>IFERROR(ROUND(HLOOKUP($B$1,$E:$AB,A19+1,FALSE)*$C$1*데이터입력!$Y$6*$D$1,-3),0)</f>
        <v>0</v>
      </c>
      <c r="E19" s="162" t="s">
        <v>27</v>
      </c>
      <c r="F19" s="2" t="s">
        <v>6</v>
      </c>
      <c r="G19" s="200"/>
      <c r="H19" s="162" t="s">
        <v>27</v>
      </c>
      <c r="I19" s="2" t="s">
        <v>6</v>
      </c>
      <c r="J19" s="200"/>
      <c r="K19" s="162" t="s">
        <v>27</v>
      </c>
      <c r="L19" s="2" t="s">
        <v>6</v>
      </c>
      <c r="M19" s="200"/>
      <c r="N19" s="162" t="s">
        <v>27</v>
      </c>
      <c r="O19" s="2" t="s">
        <v>6</v>
      </c>
      <c r="P19" s="200"/>
      <c r="Q19" s="162" t="s">
        <v>27</v>
      </c>
      <c r="R19" s="2" t="s">
        <v>6</v>
      </c>
      <c r="S19" s="200"/>
      <c r="T19" s="162" t="s">
        <v>27</v>
      </c>
      <c r="U19" s="2" t="s">
        <v>6</v>
      </c>
      <c r="V19" s="200"/>
      <c r="W19" s="162" t="s">
        <v>27</v>
      </c>
      <c r="X19" s="2" t="s">
        <v>6</v>
      </c>
      <c r="Y19" s="200"/>
      <c r="Z19" s="162" t="s">
        <v>27</v>
      </c>
      <c r="AA19" s="2" t="s">
        <v>6</v>
      </c>
      <c r="AB19" s="200"/>
    </row>
    <row r="20" spans="1:36" ht="18" thickBot="1">
      <c r="A20" s="576">
        <v>19</v>
      </c>
      <c r="B20" s="577" t="s">
        <v>29</v>
      </c>
      <c r="C20" s="578" t="s">
        <v>6</v>
      </c>
      <c r="D20" s="575">
        <f>IFERROR(ROUND(HLOOKUP($B$1,$E:$AB,A20+1,FALSE)*$C$1*데이터입력!$Y$6*$D$1,-3),0)</f>
        <v>0</v>
      </c>
      <c r="E20" s="162" t="s">
        <v>29</v>
      </c>
      <c r="F20" s="2" t="s">
        <v>6</v>
      </c>
      <c r="G20" s="200"/>
      <c r="H20" s="162" t="s">
        <v>29</v>
      </c>
      <c r="I20" s="2" t="s">
        <v>6</v>
      </c>
      <c r="J20" s="200"/>
      <c r="K20" s="162" t="s">
        <v>29</v>
      </c>
      <c r="L20" s="2" t="s">
        <v>6</v>
      </c>
      <c r="M20" s="200"/>
      <c r="N20" s="162" t="s">
        <v>29</v>
      </c>
      <c r="O20" s="2" t="s">
        <v>6</v>
      </c>
      <c r="P20" s="200"/>
      <c r="Q20" s="162" t="s">
        <v>29</v>
      </c>
      <c r="R20" s="2" t="s">
        <v>6</v>
      </c>
      <c r="S20" s="200"/>
      <c r="T20" s="162" t="s">
        <v>29</v>
      </c>
      <c r="U20" s="2" t="s">
        <v>6</v>
      </c>
      <c r="V20" s="200"/>
      <c r="W20" s="162" t="s">
        <v>29</v>
      </c>
      <c r="X20" s="2" t="s">
        <v>6</v>
      </c>
      <c r="Y20" s="200"/>
      <c r="Z20" s="162" t="s">
        <v>29</v>
      </c>
      <c r="AA20" s="2" t="s">
        <v>6</v>
      </c>
      <c r="AB20" s="1148"/>
      <c r="AC20" s="1615" t="s">
        <v>780</v>
      </c>
      <c r="AD20" s="1616"/>
      <c r="AE20" s="1616"/>
      <c r="AF20" s="1617"/>
      <c r="AG20" s="1618" t="s">
        <v>822</v>
      </c>
      <c r="AH20" s="1619"/>
      <c r="AI20" s="1618" t="s">
        <v>826</v>
      </c>
      <c r="AJ20" s="1619"/>
    </row>
    <row r="21" spans="1:36" ht="18" thickBot="1">
      <c r="A21" s="576">
        <v>20</v>
      </c>
      <c r="B21" s="577" t="s">
        <v>31</v>
      </c>
      <c r="C21" s="578" t="s">
        <v>6</v>
      </c>
      <c r="D21" s="575">
        <f>IFERROR(ROUND(HLOOKUP($B$1,$E:$AB,A21+1,FALSE)*$C$1*데이터입력!$Y$6*$D$1,-3),0)</f>
        <v>0</v>
      </c>
      <c r="E21" s="162" t="s">
        <v>31</v>
      </c>
      <c r="F21" s="2" t="s">
        <v>6</v>
      </c>
      <c r="G21" s="200"/>
      <c r="H21" s="162" t="s">
        <v>31</v>
      </c>
      <c r="I21" s="2" t="s">
        <v>6</v>
      </c>
      <c r="J21" s="200"/>
      <c r="K21" s="162" t="s">
        <v>31</v>
      </c>
      <c r="L21" s="2" t="s">
        <v>6</v>
      </c>
      <c r="M21" s="200"/>
      <c r="N21" s="162" t="s">
        <v>31</v>
      </c>
      <c r="O21" s="2" t="s">
        <v>6</v>
      </c>
      <c r="P21" s="200"/>
      <c r="Q21" s="162" t="s">
        <v>31</v>
      </c>
      <c r="R21" s="2" t="s">
        <v>6</v>
      </c>
      <c r="S21" s="200"/>
      <c r="T21" s="162" t="s">
        <v>31</v>
      </c>
      <c r="U21" s="2" t="s">
        <v>6</v>
      </c>
      <c r="V21" s="200"/>
      <c r="W21" s="162" t="s">
        <v>31</v>
      </c>
      <c r="X21" s="2" t="s">
        <v>6</v>
      </c>
      <c r="Y21" s="200"/>
      <c r="Z21" s="162" t="s">
        <v>31</v>
      </c>
      <c r="AA21" s="2" t="s">
        <v>6</v>
      </c>
      <c r="AB21" s="1148"/>
      <c r="AC21" s="1151"/>
      <c r="AD21" s="1181"/>
      <c r="AE21" s="1182" t="s">
        <v>821</v>
      </c>
      <c r="AF21" s="1176" t="s">
        <v>820</v>
      </c>
      <c r="AG21" s="1175" t="s">
        <v>821</v>
      </c>
      <c r="AH21" s="1176" t="s">
        <v>820</v>
      </c>
      <c r="AI21" s="1321" t="s">
        <v>821</v>
      </c>
      <c r="AJ21" s="1322" t="s">
        <v>820</v>
      </c>
    </row>
    <row r="22" spans="1:36">
      <c r="A22" s="576">
        <v>21</v>
      </c>
      <c r="B22" s="577" t="s">
        <v>33</v>
      </c>
      <c r="C22" s="578" t="s">
        <v>6</v>
      </c>
      <c r="D22" s="575">
        <f>IFERROR(ROUND(HLOOKUP($B$1,$E:$AB,A22+1,FALSE)*$C$1*데이터입력!$Y$6*$D$1,-3),0)</f>
        <v>0</v>
      </c>
      <c r="E22" s="162" t="s">
        <v>33</v>
      </c>
      <c r="F22" s="2" t="s">
        <v>6</v>
      </c>
      <c r="G22" s="200"/>
      <c r="H22" s="162" t="s">
        <v>33</v>
      </c>
      <c r="I22" s="2" t="s">
        <v>6</v>
      </c>
      <c r="J22" s="200"/>
      <c r="K22" s="162" t="s">
        <v>33</v>
      </c>
      <c r="L22" s="2" t="s">
        <v>6</v>
      </c>
      <c r="M22" s="200"/>
      <c r="N22" s="162" t="s">
        <v>33</v>
      </c>
      <c r="O22" s="2" t="s">
        <v>6</v>
      </c>
      <c r="P22" s="200"/>
      <c r="Q22" s="162" t="s">
        <v>33</v>
      </c>
      <c r="R22" s="2" t="s">
        <v>6</v>
      </c>
      <c r="S22" s="200"/>
      <c r="T22" s="162" t="s">
        <v>33</v>
      </c>
      <c r="U22" s="2" t="s">
        <v>6</v>
      </c>
      <c r="V22" s="200"/>
      <c r="W22" s="162" t="s">
        <v>33</v>
      </c>
      <c r="X22" s="2" t="s">
        <v>6</v>
      </c>
      <c r="Y22" s="200"/>
      <c r="Z22" s="162" t="s">
        <v>33</v>
      </c>
      <c r="AA22" s="2" t="s">
        <v>6</v>
      </c>
      <c r="AB22" s="1148"/>
      <c r="AC22" s="1151" t="s">
        <v>16</v>
      </c>
      <c r="AD22" s="1181" t="s">
        <v>14</v>
      </c>
      <c r="AE22" s="1183">
        <v>380000</v>
      </c>
      <c r="AF22" s="1183">
        <v>400000</v>
      </c>
      <c r="AG22" s="1183"/>
      <c r="AH22" s="1319"/>
      <c r="AI22" s="1323"/>
      <c r="AJ22" s="1324"/>
    </row>
    <row r="23" spans="1:36">
      <c r="A23" s="576">
        <v>22</v>
      </c>
      <c r="B23" s="577" t="s">
        <v>34</v>
      </c>
      <c r="C23" s="578" t="s">
        <v>6</v>
      </c>
      <c r="D23" s="575">
        <f>IFERROR(ROUND(HLOOKUP($B$1,$E:$AB,A23+1,FALSE)*$C$1*데이터입력!$Y$6*$D$1,-3),0)</f>
        <v>0</v>
      </c>
      <c r="E23" s="162" t="s">
        <v>34</v>
      </c>
      <c r="F23" s="2" t="s">
        <v>6</v>
      </c>
      <c r="G23" s="200"/>
      <c r="H23" s="162" t="s">
        <v>34</v>
      </c>
      <c r="I23" s="2" t="s">
        <v>6</v>
      </c>
      <c r="J23" s="200"/>
      <c r="K23" s="162" t="s">
        <v>34</v>
      </c>
      <c r="L23" s="2" t="s">
        <v>6</v>
      </c>
      <c r="M23" s="200"/>
      <c r="N23" s="162" t="s">
        <v>34</v>
      </c>
      <c r="O23" s="2" t="s">
        <v>6</v>
      </c>
      <c r="P23" s="200"/>
      <c r="Q23" s="162" t="s">
        <v>34</v>
      </c>
      <c r="R23" s="2" t="s">
        <v>6</v>
      </c>
      <c r="S23" s="200"/>
      <c r="T23" s="162" t="s">
        <v>34</v>
      </c>
      <c r="U23" s="2" t="s">
        <v>6</v>
      </c>
      <c r="V23" s="200"/>
      <c r="W23" s="162" t="s">
        <v>34</v>
      </c>
      <c r="X23" s="2" t="s">
        <v>6</v>
      </c>
      <c r="Y23" s="200"/>
      <c r="Z23" s="162" t="s">
        <v>34</v>
      </c>
      <c r="AA23" s="2" t="s">
        <v>6</v>
      </c>
      <c r="AB23" s="1148"/>
      <c r="AC23" s="1151" t="s">
        <v>765</v>
      </c>
      <c r="AD23" s="1181" t="s">
        <v>14</v>
      </c>
      <c r="AE23" s="1183">
        <v>40000</v>
      </c>
      <c r="AF23" s="1183">
        <v>40000</v>
      </c>
      <c r="AG23" s="1183"/>
      <c r="AH23" s="1319"/>
      <c r="AI23" s="1151"/>
      <c r="AJ23" s="1159"/>
    </row>
    <row r="24" spans="1:36">
      <c r="A24" s="576">
        <v>23</v>
      </c>
      <c r="B24" s="577" t="s">
        <v>35</v>
      </c>
      <c r="C24" s="578" t="s">
        <v>6</v>
      </c>
      <c r="D24" s="575">
        <f>IFERROR(ROUND(HLOOKUP($B$1,$E:$AB,A24+1,FALSE)*$C$1*데이터입력!$Y$6*$D$1,-3),0)</f>
        <v>0</v>
      </c>
      <c r="E24" s="162" t="s">
        <v>35</v>
      </c>
      <c r="F24" s="2" t="s">
        <v>6</v>
      </c>
      <c r="G24" s="200"/>
      <c r="H24" s="162" t="s">
        <v>35</v>
      </c>
      <c r="I24" s="2" t="s">
        <v>6</v>
      </c>
      <c r="J24" s="200"/>
      <c r="K24" s="162" t="s">
        <v>35</v>
      </c>
      <c r="L24" s="2" t="s">
        <v>6</v>
      </c>
      <c r="M24" s="200"/>
      <c r="N24" s="162" t="s">
        <v>35</v>
      </c>
      <c r="O24" s="2" t="s">
        <v>6</v>
      </c>
      <c r="P24" s="200"/>
      <c r="Q24" s="162" t="s">
        <v>35</v>
      </c>
      <c r="R24" s="2" t="s">
        <v>6</v>
      </c>
      <c r="S24" s="200"/>
      <c r="T24" s="162" t="s">
        <v>35</v>
      </c>
      <c r="U24" s="2" t="s">
        <v>6</v>
      </c>
      <c r="V24" s="200"/>
      <c r="W24" s="162" t="s">
        <v>35</v>
      </c>
      <c r="X24" s="2" t="s">
        <v>6</v>
      </c>
      <c r="Y24" s="200"/>
      <c r="Z24" s="162" t="s">
        <v>35</v>
      </c>
      <c r="AA24" s="2" t="s">
        <v>6</v>
      </c>
      <c r="AB24" s="1148"/>
      <c r="AC24" s="1151" t="s">
        <v>766</v>
      </c>
      <c r="AD24" s="1181" t="s">
        <v>14</v>
      </c>
      <c r="AE24" s="1183">
        <v>50000</v>
      </c>
      <c r="AF24" s="1183">
        <v>50000</v>
      </c>
      <c r="AG24" s="1183"/>
      <c r="AH24" s="1319"/>
      <c r="AI24" s="1151"/>
      <c r="AJ24" s="1159"/>
    </row>
    <row r="25" spans="1:36">
      <c r="A25" s="576">
        <v>24</v>
      </c>
      <c r="B25" s="577" t="s">
        <v>36</v>
      </c>
      <c r="C25" s="578" t="s">
        <v>6</v>
      </c>
      <c r="D25" s="575">
        <f>IFERROR(IF((ROUND($D$1/10,0)*HLOOKUP($B$1,$E:$AB,A25+1,FALSE)*ROUND($C$1/6,0))&gt;1200000,ROUND(1200000/12*$C$1,0),IF(OR($B$1=$G$1,$B$1=$M$1,$B$1=$J$1,$B$1=$P$1),ROUND($D$1/10,0)*HLOOKUP($B$1,$E:$AB,A25+1,FALSE)*ROUND($C$1/6,0),IF($D$1&lt;0,0,ROUND($D$1/10,0)*HLOOKUP($B$1,$E:$AB,A25+1,FALSE)*ROUND($C$1/6,0)))),0)</f>
        <v>50000</v>
      </c>
      <c r="E25" s="162" t="s">
        <v>36</v>
      </c>
      <c r="F25" s="2" t="s">
        <v>6</v>
      </c>
      <c r="G25" s="200">
        <v>5000</v>
      </c>
      <c r="H25" s="162" t="s">
        <v>36</v>
      </c>
      <c r="I25" s="2" t="s">
        <v>6</v>
      </c>
      <c r="J25" s="200">
        <v>5000</v>
      </c>
      <c r="K25" s="162" t="s">
        <v>36</v>
      </c>
      <c r="L25" s="2" t="s">
        <v>6</v>
      </c>
      <c r="M25" s="200">
        <v>5000</v>
      </c>
      <c r="N25" s="162" t="s">
        <v>36</v>
      </c>
      <c r="O25" s="2" t="s">
        <v>6</v>
      </c>
      <c r="P25" s="200">
        <v>5000</v>
      </c>
      <c r="Q25" s="162" t="s">
        <v>36</v>
      </c>
      <c r="R25" s="2" t="s">
        <v>6</v>
      </c>
      <c r="S25" s="200">
        <v>5000</v>
      </c>
      <c r="T25" s="162" t="s">
        <v>36</v>
      </c>
      <c r="U25" s="2" t="s">
        <v>6</v>
      </c>
      <c r="V25" s="200">
        <v>2500</v>
      </c>
      <c r="W25" s="162" t="s">
        <v>36</v>
      </c>
      <c r="X25" s="2" t="s">
        <v>6</v>
      </c>
      <c r="Y25" s="200">
        <v>2500</v>
      </c>
      <c r="Z25" s="162" t="s">
        <v>36</v>
      </c>
      <c r="AA25" s="2" t="s">
        <v>6</v>
      </c>
      <c r="AB25" s="1148">
        <v>5000</v>
      </c>
      <c r="AC25" s="1151" t="s">
        <v>102</v>
      </c>
      <c r="AD25" s="1181" t="s">
        <v>107</v>
      </c>
      <c r="AE25" s="1183">
        <v>90450</v>
      </c>
      <c r="AF25" s="1183">
        <v>93070</v>
      </c>
      <c r="AG25" s="1183">
        <v>84800</v>
      </c>
      <c r="AH25" s="1319">
        <v>84800</v>
      </c>
      <c r="AI25" s="1151">
        <v>60000</v>
      </c>
      <c r="AJ25" s="1159">
        <v>140000</v>
      </c>
    </row>
    <row r="26" spans="1:36">
      <c r="A26" s="576">
        <v>25</v>
      </c>
      <c r="B26" s="577" t="s">
        <v>37</v>
      </c>
      <c r="C26" s="578" t="s">
        <v>6</v>
      </c>
      <c r="D26" s="575">
        <f>IFERROR(ROUND(HLOOKUP($B$1,$E:$AB,A26+1,FALSE),-3),0)</f>
        <v>60000</v>
      </c>
      <c r="E26" s="162" t="s">
        <v>37</v>
      </c>
      <c r="F26" s="2" t="s">
        <v>6</v>
      </c>
      <c r="G26" s="200">
        <v>60000</v>
      </c>
      <c r="H26" s="162" t="s">
        <v>37</v>
      </c>
      <c r="I26" s="2" t="s">
        <v>6</v>
      </c>
      <c r="J26" s="200">
        <v>60000</v>
      </c>
      <c r="K26" s="162" t="s">
        <v>37</v>
      </c>
      <c r="L26" s="2" t="s">
        <v>6</v>
      </c>
      <c r="M26" s="200">
        <v>60000</v>
      </c>
      <c r="N26" s="162" t="s">
        <v>37</v>
      </c>
      <c r="O26" s="2" t="s">
        <v>6</v>
      </c>
      <c r="P26" s="200">
        <v>60000</v>
      </c>
      <c r="Q26" s="162" t="s">
        <v>37</v>
      </c>
      <c r="R26" s="2" t="s">
        <v>6</v>
      </c>
      <c r="S26" s="200"/>
      <c r="T26" s="162" t="s">
        <v>37</v>
      </c>
      <c r="U26" s="2" t="s">
        <v>6</v>
      </c>
      <c r="V26" s="200"/>
      <c r="W26" s="162" t="s">
        <v>37</v>
      </c>
      <c r="X26" s="2" t="s">
        <v>6</v>
      </c>
      <c r="Y26" s="200"/>
      <c r="Z26" s="162" t="s">
        <v>37</v>
      </c>
      <c r="AA26" s="2" t="s">
        <v>6</v>
      </c>
      <c r="AB26" s="1148"/>
      <c r="AC26" s="1151" t="s">
        <v>102</v>
      </c>
      <c r="AD26" s="1181" t="s">
        <v>104</v>
      </c>
      <c r="AE26" s="1183">
        <v>83910</v>
      </c>
      <c r="AF26" s="1183">
        <v>86340</v>
      </c>
      <c r="AG26" s="1183">
        <v>84800</v>
      </c>
      <c r="AH26" s="1319">
        <v>84800</v>
      </c>
      <c r="AI26" s="1151">
        <v>60000</v>
      </c>
      <c r="AJ26" s="1159">
        <v>140000</v>
      </c>
    </row>
    <row r="27" spans="1:36">
      <c r="A27" s="576">
        <v>26</v>
      </c>
      <c r="B27" s="577" t="s">
        <v>38</v>
      </c>
      <c r="C27" s="578" t="s">
        <v>6</v>
      </c>
      <c r="D27" s="575">
        <f>IFERROR(IF(OR(AND(VLOOKUP(B27,데이터입력!$B$3:$L$28,6,FALSE)=0,SUM(데이터입력!$L$3:$L$28)&gt;0),IFERROR(IF((ROUND($D$1/10,0)*HLOOKUP($B$1,$E:$AB,A27+1,FALSE)*$C$1)&gt;36000000,ROUND(36000000/12*$C$1,0),IF(OR($B$1=$G$1,$B$1=$M$1,$B$1=$J$1,$B$1=$P$1),ROUND($D$1/10,0)*HLOOKUP($B$1,$E:$AB,A27+1,FALSE)*$C$1,IF($D$1&lt;0,0,ROUND($D$1/10,0)*HLOOKUP($B$1,$E:$AB,A27+1,FALSE)*$C$1))),0)&lt;VLOOKUP(B27,데이터입력!$B$3:$L$28,6,FALSE)),ROUND(VLOOKUP(B27,데이터입력!$B$3:$L$28,6,FALSE)*데이터입력!$Y$6,0),IFERROR(IF((ROUND($D$1/10,0)*HLOOKUP($B$1,$E:$AB,A27+1,FALSE)*$C$1)&gt;36000000,ROUND(36000000/12*$C$1,0),IF(OR($B$1=$G$1,$B$1=$M$1,$B$1=$J$1,$B$1=$P$1),ROUND($D$1/10,0)*HLOOKUP($B$1,$E:$AB,A27+1,FALSE)*$C$1,IF($D$1&lt;0,0,ROUND($D$1/10,0)*HLOOKUP($B$1,$E:$AB,A27+1,FALSE)*$C$1))),0)),0)</f>
        <v>30000000</v>
      </c>
      <c r="E27" s="162" t="s">
        <v>38</v>
      </c>
      <c r="F27" s="2" t="s">
        <v>6</v>
      </c>
      <c r="G27" s="200">
        <v>500000</v>
      </c>
      <c r="H27" s="162" t="s">
        <v>38</v>
      </c>
      <c r="I27" s="2" t="s">
        <v>6</v>
      </c>
      <c r="J27" s="200">
        <v>150000</v>
      </c>
      <c r="K27" s="162" t="s">
        <v>38</v>
      </c>
      <c r="L27" s="2" t="s">
        <v>6</v>
      </c>
      <c r="M27" s="200">
        <v>400000</v>
      </c>
      <c r="N27" s="162" t="s">
        <v>38</v>
      </c>
      <c r="O27" s="2" t="s">
        <v>6</v>
      </c>
      <c r="P27" s="200">
        <v>200000</v>
      </c>
      <c r="Q27" s="162" t="s">
        <v>38</v>
      </c>
      <c r="R27" s="2" t="s">
        <v>6</v>
      </c>
      <c r="S27" s="200">
        <v>150000</v>
      </c>
      <c r="T27" s="162" t="s">
        <v>38</v>
      </c>
      <c r="U27" s="2" t="s">
        <v>6</v>
      </c>
      <c r="V27" s="200">
        <v>100000</v>
      </c>
      <c r="W27" s="162" t="s">
        <v>38</v>
      </c>
      <c r="X27" s="2" t="s">
        <v>6</v>
      </c>
      <c r="Y27" s="200">
        <v>100000</v>
      </c>
      <c r="Z27" s="162" t="s">
        <v>38</v>
      </c>
      <c r="AA27" s="2" t="s">
        <v>6</v>
      </c>
      <c r="AB27" s="1148">
        <v>100000</v>
      </c>
      <c r="AC27" s="1151" t="s">
        <v>102</v>
      </c>
      <c r="AD27" s="1181" t="s">
        <v>105</v>
      </c>
      <c r="AE27" s="1183">
        <v>79240</v>
      </c>
      <c r="AF27" s="1183">
        <v>81540</v>
      </c>
      <c r="AG27" s="1183">
        <v>78180</v>
      </c>
      <c r="AH27" s="1319">
        <v>78180</v>
      </c>
      <c r="AI27" s="1151">
        <v>60000</v>
      </c>
      <c r="AJ27" s="1159">
        <v>140000</v>
      </c>
    </row>
    <row r="28" spans="1:36">
      <c r="A28" s="571">
        <v>27</v>
      </c>
      <c r="B28" s="569" t="s">
        <v>40</v>
      </c>
      <c r="C28" s="570" t="s">
        <v>6</v>
      </c>
      <c r="D28" s="568">
        <f t="shared" ref="D28:D37" si="1">IFERROR(IF((ROUND($D$1/10,0)*HLOOKUP($B$1,$E:$AB,A28+1,FALSE)*$C$1)&gt;24000000,ROUND(24000000/12*$C$1,0),IF(OR($B$1=$G$1,$B$1=$M$1),ROUND($D$1/10,0)*HLOOKUP($B$1,$E:$AB,A28+1,FALSE)*$C$1,IF($D$1&lt;30,0,ROUND($D$1/10,0)*HLOOKUP($B$1,$E:$AB,A28+1,FALSE)*$C$1))),0)</f>
        <v>0</v>
      </c>
      <c r="E28" s="579" t="s">
        <v>40</v>
      </c>
      <c r="F28" s="580" t="s">
        <v>6</v>
      </c>
      <c r="G28" s="581"/>
      <c r="H28" s="579" t="s">
        <v>40</v>
      </c>
      <c r="I28" s="580" t="s">
        <v>6</v>
      </c>
      <c r="J28" s="581"/>
      <c r="K28" s="579" t="s">
        <v>40</v>
      </c>
      <c r="L28" s="580" t="s">
        <v>6</v>
      </c>
      <c r="M28" s="581"/>
      <c r="N28" s="579" t="s">
        <v>40</v>
      </c>
      <c r="O28" s="580" t="s">
        <v>6</v>
      </c>
      <c r="P28" s="581"/>
      <c r="Q28" s="579" t="s">
        <v>40</v>
      </c>
      <c r="R28" s="580" t="s">
        <v>6</v>
      </c>
      <c r="S28" s="581"/>
      <c r="T28" s="579" t="s">
        <v>40</v>
      </c>
      <c r="U28" s="580" t="s">
        <v>6</v>
      </c>
      <c r="V28" s="581"/>
      <c r="W28" s="579" t="s">
        <v>40</v>
      </c>
      <c r="X28" s="580" t="s">
        <v>6</v>
      </c>
      <c r="Y28" s="581"/>
      <c r="Z28" s="579" t="s">
        <v>40</v>
      </c>
      <c r="AA28" s="580" t="s">
        <v>6</v>
      </c>
      <c r="AB28" s="1180"/>
      <c r="AC28" s="1151" t="s">
        <v>106</v>
      </c>
      <c r="AD28" s="1181" t="s">
        <v>107</v>
      </c>
      <c r="AE28" s="1183">
        <v>72480</v>
      </c>
      <c r="AF28" s="1183">
        <v>74590</v>
      </c>
      <c r="AG28" s="1183">
        <v>83360</v>
      </c>
      <c r="AH28" s="1319">
        <v>83360</v>
      </c>
      <c r="AI28" s="1151">
        <v>60000</v>
      </c>
      <c r="AJ28" s="1159">
        <v>140000</v>
      </c>
    </row>
    <row r="29" spans="1:36">
      <c r="A29" s="571">
        <v>28</v>
      </c>
      <c r="B29" s="569" t="s">
        <v>41</v>
      </c>
      <c r="C29" s="570" t="s">
        <v>6</v>
      </c>
      <c r="D29" s="568">
        <f t="shared" si="1"/>
        <v>0</v>
      </c>
      <c r="E29" s="579" t="s">
        <v>41</v>
      </c>
      <c r="F29" s="580" t="s">
        <v>6</v>
      </c>
      <c r="G29" s="581"/>
      <c r="H29" s="579" t="s">
        <v>41</v>
      </c>
      <c r="I29" s="580" t="s">
        <v>6</v>
      </c>
      <c r="J29" s="581"/>
      <c r="K29" s="579" t="s">
        <v>41</v>
      </c>
      <c r="L29" s="580" t="s">
        <v>6</v>
      </c>
      <c r="M29" s="581"/>
      <c r="N29" s="579" t="s">
        <v>41</v>
      </c>
      <c r="O29" s="580" t="s">
        <v>6</v>
      </c>
      <c r="P29" s="581"/>
      <c r="Q29" s="579" t="s">
        <v>41</v>
      </c>
      <c r="R29" s="580" t="s">
        <v>6</v>
      </c>
      <c r="S29" s="581"/>
      <c r="T29" s="579" t="s">
        <v>41</v>
      </c>
      <c r="U29" s="580" t="s">
        <v>6</v>
      </c>
      <c r="V29" s="581"/>
      <c r="W29" s="579" t="s">
        <v>41</v>
      </c>
      <c r="X29" s="580" t="s">
        <v>6</v>
      </c>
      <c r="Y29" s="581"/>
      <c r="Z29" s="579" t="s">
        <v>41</v>
      </c>
      <c r="AA29" s="580" t="s">
        <v>6</v>
      </c>
      <c r="AB29" s="1180"/>
      <c r="AC29" s="1151" t="s">
        <v>106</v>
      </c>
      <c r="AD29" s="1181" t="s">
        <v>104</v>
      </c>
      <c r="AE29" s="1183">
        <v>67250</v>
      </c>
      <c r="AF29" s="1183">
        <v>69210</v>
      </c>
      <c r="AG29" s="1183">
        <v>83360</v>
      </c>
      <c r="AH29" s="1319">
        <v>83360</v>
      </c>
      <c r="AI29" s="1151">
        <v>60000</v>
      </c>
      <c r="AJ29" s="1159">
        <v>140000</v>
      </c>
    </row>
    <row r="30" spans="1:36">
      <c r="A30" s="571">
        <v>29</v>
      </c>
      <c r="B30" s="569" t="s">
        <v>42</v>
      </c>
      <c r="C30" s="570" t="s">
        <v>6</v>
      </c>
      <c r="D30" s="568">
        <f t="shared" si="1"/>
        <v>0</v>
      </c>
      <c r="E30" s="579" t="s">
        <v>42</v>
      </c>
      <c r="F30" s="580" t="s">
        <v>6</v>
      </c>
      <c r="G30" s="581"/>
      <c r="H30" s="579" t="s">
        <v>42</v>
      </c>
      <c r="I30" s="580" t="s">
        <v>6</v>
      </c>
      <c r="J30" s="581"/>
      <c r="K30" s="579" t="s">
        <v>42</v>
      </c>
      <c r="L30" s="580" t="s">
        <v>6</v>
      </c>
      <c r="M30" s="581"/>
      <c r="N30" s="579" t="s">
        <v>42</v>
      </c>
      <c r="O30" s="580" t="s">
        <v>6</v>
      </c>
      <c r="P30" s="581"/>
      <c r="Q30" s="579" t="s">
        <v>42</v>
      </c>
      <c r="R30" s="580" t="s">
        <v>6</v>
      </c>
      <c r="S30" s="581"/>
      <c r="T30" s="579" t="s">
        <v>42</v>
      </c>
      <c r="U30" s="580" t="s">
        <v>6</v>
      </c>
      <c r="V30" s="581"/>
      <c r="W30" s="579" t="s">
        <v>42</v>
      </c>
      <c r="X30" s="580" t="s">
        <v>6</v>
      </c>
      <c r="Y30" s="581"/>
      <c r="Z30" s="579" t="s">
        <v>42</v>
      </c>
      <c r="AA30" s="580" t="s">
        <v>6</v>
      </c>
      <c r="AB30" s="1180"/>
      <c r="AC30" s="1151" t="s">
        <v>106</v>
      </c>
      <c r="AD30" s="1181" t="s">
        <v>105</v>
      </c>
      <c r="AE30" s="1183">
        <v>62000</v>
      </c>
      <c r="AF30" s="1183">
        <v>63800</v>
      </c>
      <c r="AG30" s="1183">
        <v>76860</v>
      </c>
      <c r="AH30" s="1319">
        <v>76860</v>
      </c>
      <c r="AI30" s="1151">
        <v>60000</v>
      </c>
      <c r="AJ30" s="1159">
        <v>140000</v>
      </c>
    </row>
    <row r="31" spans="1:36">
      <c r="A31" s="571">
        <v>30</v>
      </c>
      <c r="B31" s="569" t="s">
        <v>43</v>
      </c>
      <c r="C31" s="570" t="s">
        <v>6</v>
      </c>
      <c r="D31" s="568">
        <f t="shared" si="1"/>
        <v>0</v>
      </c>
      <c r="E31" s="579" t="s">
        <v>43</v>
      </c>
      <c r="F31" s="580" t="s">
        <v>6</v>
      </c>
      <c r="G31" s="581"/>
      <c r="H31" s="579" t="s">
        <v>43</v>
      </c>
      <c r="I31" s="580" t="s">
        <v>6</v>
      </c>
      <c r="J31" s="581"/>
      <c r="K31" s="579" t="s">
        <v>43</v>
      </c>
      <c r="L31" s="580" t="s">
        <v>6</v>
      </c>
      <c r="M31" s="581"/>
      <c r="N31" s="579" t="s">
        <v>43</v>
      </c>
      <c r="O31" s="580" t="s">
        <v>6</v>
      </c>
      <c r="P31" s="581"/>
      <c r="Q31" s="579" t="s">
        <v>43</v>
      </c>
      <c r="R31" s="580" t="s">
        <v>6</v>
      </c>
      <c r="S31" s="581"/>
      <c r="T31" s="579" t="s">
        <v>43</v>
      </c>
      <c r="U31" s="580" t="s">
        <v>6</v>
      </c>
      <c r="V31" s="581"/>
      <c r="W31" s="579" t="s">
        <v>43</v>
      </c>
      <c r="X31" s="580" t="s">
        <v>6</v>
      </c>
      <c r="Y31" s="581"/>
      <c r="Z31" s="579" t="s">
        <v>43</v>
      </c>
      <c r="AA31" s="580" t="s">
        <v>6</v>
      </c>
      <c r="AB31" s="1180"/>
      <c r="AC31" s="1151" t="s">
        <v>108</v>
      </c>
      <c r="AD31" s="1181" t="s">
        <v>107</v>
      </c>
      <c r="AE31" s="1183">
        <v>67770</v>
      </c>
      <c r="AF31" s="1183">
        <v>69730</v>
      </c>
      <c r="AG31" s="1183">
        <v>78990</v>
      </c>
      <c r="AH31" s="1319">
        <v>78990</v>
      </c>
      <c r="AI31" s="1151">
        <v>60000</v>
      </c>
      <c r="AJ31" s="1159">
        <v>140000</v>
      </c>
    </row>
    <row r="32" spans="1:36">
      <c r="A32" s="571">
        <v>31</v>
      </c>
      <c r="B32" s="569" t="s">
        <v>44</v>
      </c>
      <c r="C32" s="570" t="s">
        <v>6</v>
      </c>
      <c r="D32" s="568">
        <f t="shared" si="1"/>
        <v>0</v>
      </c>
      <c r="E32" s="579" t="s">
        <v>44</v>
      </c>
      <c r="F32" s="580" t="s">
        <v>6</v>
      </c>
      <c r="G32" s="581"/>
      <c r="H32" s="579" t="s">
        <v>44</v>
      </c>
      <c r="I32" s="580" t="s">
        <v>6</v>
      </c>
      <c r="J32" s="581"/>
      <c r="K32" s="579" t="s">
        <v>44</v>
      </c>
      <c r="L32" s="580" t="s">
        <v>6</v>
      </c>
      <c r="M32" s="581"/>
      <c r="N32" s="579" t="s">
        <v>44</v>
      </c>
      <c r="O32" s="580" t="s">
        <v>6</v>
      </c>
      <c r="P32" s="581"/>
      <c r="Q32" s="579" t="s">
        <v>44</v>
      </c>
      <c r="R32" s="580" t="s">
        <v>6</v>
      </c>
      <c r="S32" s="581"/>
      <c r="T32" s="579" t="s">
        <v>44</v>
      </c>
      <c r="U32" s="580" t="s">
        <v>6</v>
      </c>
      <c r="V32" s="581"/>
      <c r="W32" s="579" t="s">
        <v>44</v>
      </c>
      <c r="X32" s="580" t="s">
        <v>6</v>
      </c>
      <c r="Y32" s="581"/>
      <c r="Z32" s="579" t="s">
        <v>44</v>
      </c>
      <c r="AA32" s="580" t="s">
        <v>6</v>
      </c>
      <c r="AB32" s="1180"/>
      <c r="AC32" s="1151" t="s">
        <v>108</v>
      </c>
      <c r="AD32" s="1181" t="s">
        <v>104</v>
      </c>
      <c r="AE32" s="1183">
        <v>62780</v>
      </c>
      <c r="AF32" s="1183">
        <v>64590</v>
      </c>
      <c r="AG32" s="1183">
        <v>78990</v>
      </c>
      <c r="AH32" s="1319">
        <v>78990</v>
      </c>
      <c r="AI32" s="1151">
        <v>60000</v>
      </c>
      <c r="AJ32" s="1159">
        <v>140000</v>
      </c>
    </row>
    <row r="33" spans="1:36">
      <c r="A33" s="571">
        <v>32</v>
      </c>
      <c r="B33" s="569" t="s">
        <v>45</v>
      </c>
      <c r="C33" s="570" t="s">
        <v>6</v>
      </c>
      <c r="D33" s="568">
        <f t="shared" si="1"/>
        <v>0</v>
      </c>
      <c r="E33" s="579" t="s">
        <v>45</v>
      </c>
      <c r="F33" s="580" t="s">
        <v>6</v>
      </c>
      <c r="G33" s="581"/>
      <c r="H33" s="579" t="s">
        <v>45</v>
      </c>
      <c r="I33" s="580" t="s">
        <v>6</v>
      </c>
      <c r="J33" s="581"/>
      <c r="K33" s="579" t="s">
        <v>45</v>
      </c>
      <c r="L33" s="580" t="s">
        <v>6</v>
      </c>
      <c r="M33" s="581"/>
      <c r="N33" s="579" t="s">
        <v>45</v>
      </c>
      <c r="O33" s="580" t="s">
        <v>6</v>
      </c>
      <c r="P33" s="581"/>
      <c r="Q33" s="579" t="s">
        <v>45</v>
      </c>
      <c r="R33" s="580" t="s">
        <v>6</v>
      </c>
      <c r="S33" s="581"/>
      <c r="T33" s="579" t="s">
        <v>45</v>
      </c>
      <c r="U33" s="580" t="s">
        <v>6</v>
      </c>
      <c r="V33" s="581"/>
      <c r="W33" s="579" t="s">
        <v>45</v>
      </c>
      <c r="X33" s="580" t="s">
        <v>6</v>
      </c>
      <c r="Y33" s="581"/>
      <c r="Z33" s="579" t="s">
        <v>45</v>
      </c>
      <c r="AA33" s="580" t="s">
        <v>6</v>
      </c>
      <c r="AB33" s="1180"/>
      <c r="AC33" s="1151" t="s">
        <v>108</v>
      </c>
      <c r="AD33" s="1181" t="s">
        <v>105</v>
      </c>
      <c r="AE33" s="1183">
        <v>57960</v>
      </c>
      <c r="AF33" s="1183">
        <v>59640</v>
      </c>
      <c r="AG33" s="1183">
        <v>72900</v>
      </c>
      <c r="AH33" s="1319">
        <v>72900</v>
      </c>
      <c r="AI33" s="1151">
        <v>60000</v>
      </c>
      <c r="AJ33" s="1159">
        <v>140000</v>
      </c>
    </row>
    <row r="34" spans="1:36">
      <c r="A34" s="571">
        <v>33</v>
      </c>
      <c r="B34" s="569" t="s">
        <v>46</v>
      </c>
      <c r="C34" s="570" t="s">
        <v>6</v>
      </c>
      <c r="D34" s="568">
        <f t="shared" si="1"/>
        <v>0</v>
      </c>
      <c r="E34" s="579" t="s">
        <v>46</v>
      </c>
      <c r="F34" s="580" t="s">
        <v>6</v>
      </c>
      <c r="G34" s="581"/>
      <c r="H34" s="579" t="s">
        <v>46</v>
      </c>
      <c r="I34" s="580" t="s">
        <v>6</v>
      </c>
      <c r="J34" s="581"/>
      <c r="K34" s="579" t="s">
        <v>46</v>
      </c>
      <c r="L34" s="580" t="s">
        <v>6</v>
      </c>
      <c r="M34" s="581"/>
      <c r="N34" s="579" t="s">
        <v>46</v>
      </c>
      <c r="O34" s="580" t="s">
        <v>6</v>
      </c>
      <c r="P34" s="581"/>
      <c r="Q34" s="579" t="s">
        <v>46</v>
      </c>
      <c r="R34" s="580" t="s">
        <v>6</v>
      </c>
      <c r="S34" s="581"/>
      <c r="T34" s="579" t="s">
        <v>46</v>
      </c>
      <c r="U34" s="580" t="s">
        <v>6</v>
      </c>
      <c r="V34" s="581"/>
      <c r="W34" s="579" t="s">
        <v>46</v>
      </c>
      <c r="X34" s="580" t="s">
        <v>6</v>
      </c>
      <c r="Y34" s="581"/>
      <c r="Z34" s="579" t="s">
        <v>46</v>
      </c>
      <c r="AA34" s="580" t="s">
        <v>6</v>
      </c>
      <c r="AB34" s="1180"/>
      <c r="AC34" s="1151" t="s">
        <v>108</v>
      </c>
      <c r="AD34" s="1181" t="s">
        <v>110</v>
      </c>
      <c r="AE34" s="1183">
        <v>56380</v>
      </c>
      <c r="AF34" s="1183">
        <v>58010</v>
      </c>
      <c r="AG34" s="1183">
        <v>70930</v>
      </c>
      <c r="AH34" s="1319">
        <v>70930</v>
      </c>
      <c r="AI34" s="1151">
        <v>60000</v>
      </c>
      <c r="AJ34" s="1159">
        <v>140000</v>
      </c>
    </row>
    <row r="35" spans="1:36">
      <c r="A35" s="571">
        <v>34</v>
      </c>
      <c r="B35" s="569" t="s">
        <v>47</v>
      </c>
      <c r="C35" s="570" t="s">
        <v>6</v>
      </c>
      <c r="D35" s="568">
        <f t="shared" si="1"/>
        <v>0</v>
      </c>
      <c r="E35" s="579" t="s">
        <v>47</v>
      </c>
      <c r="F35" s="580" t="s">
        <v>6</v>
      </c>
      <c r="G35" s="581"/>
      <c r="H35" s="579" t="s">
        <v>47</v>
      </c>
      <c r="I35" s="580" t="s">
        <v>6</v>
      </c>
      <c r="J35" s="581"/>
      <c r="K35" s="579" t="s">
        <v>47</v>
      </c>
      <c r="L35" s="580" t="s">
        <v>6</v>
      </c>
      <c r="M35" s="581"/>
      <c r="N35" s="579" t="s">
        <v>47</v>
      </c>
      <c r="O35" s="580" t="s">
        <v>6</v>
      </c>
      <c r="P35" s="581"/>
      <c r="Q35" s="579" t="s">
        <v>47</v>
      </c>
      <c r="R35" s="580" t="s">
        <v>6</v>
      </c>
      <c r="S35" s="581"/>
      <c r="T35" s="579" t="s">
        <v>47</v>
      </c>
      <c r="U35" s="580" t="s">
        <v>6</v>
      </c>
      <c r="V35" s="581"/>
      <c r="W35" s="579" t="s">
        <v>47</v>
      </c>
      <c r="X35" s="580" t="s">
        <v>6</v>
      </c>
      <c r="Y35" s="581"/>
      <c r="Z35" s="579" t="s">
        <v>47</v>
      </c>
      <c r="AA35" s="580" t="s">
        <v>6</v>
      </c>
      <c r="AB35" s="1180"/>
      <c r="AC35" s="1151" t="s">
        <v>108</v>
      </c>
      <c r="AD35" s="1181" t="s">
        <v>111</v>
      </c>
      <c r="AE35" s="1183">
        <v>54780</v>
      </c>
      <c r="AF35" s="1183">
        <v>56360</v>
      </c>
      <c r="AG35" s="1183">
        <v>68900</v>
      </c>
      <c r="AH35" s="1319">
        <v>68900</v>
      </c>
      <c r="AI35" s="1151">
        <v>60000</v>
      </c>
      <c r="AJ35" s="1159">
        <v>140000</v>
      </c>
    </row>
    <row r="36" spans="1:36">
      <c r="A36" s="571">
        <v>35</v>
      </c>
      <c r="B36" s="569" t="s">
        <v>48</v>
      </c>
      <c r="C36" s="570" t="s">
        <v>6</v>
      </c>
      <c r="D36" s="568">
        <f t="shared" si="1"/>
        <v>0</v>
      </c>
      <c r="E36" s="579" t="s">
        <v>48</v>
      </c>
      <c r="F36" s="580" t="s">
        <v>6</v>
      </c>
      <c r="G36" s="581"/>
      <c r="H36" s="579" t="s">
        <v>48</v>
      </c>
      <c r="I36" s="580" t="s">
        <v>6</v>
      </c>
      <c r="J36" s="581"/>
      <c r="K36" s="579" t="s">
        <v>48</v>
      </c>
      <c r="L36" s="580" t="s">
        <v>6</v>
      </c>
      <c r="M36" s="581"/>
      <c r="N36" s="579" t="s">
        <v>48</v>
      </c>
      <c r="O36" s="580" t="s">
        <v>6</v>
      </c>
      <c r="P36" s="581"/>
      <c r="Q36" s="579" t="s">
        <v>48</v>
      </c>
      <c r="R36" s="580" t="s">
        <v>6</v>
      </c>
      <c r="S36" s="581"/>
      <c r="T36" s="579" t="s">
        <v>48</v>
      </c>
      <c r="U36" s="580" t="s">
        <v>6</v>
      </c>
      <c r="V36" s="581"/>
      <c r="W36" s="579" t="s">
        <v>48</v>
      </c>
      <c r="X36" s="580" t="s">
        <v>6</v>
      </c>
      <c r="Y36" s="581"/>
      <c r="Z36" s="579" t="s">
        <v>48</v>
      </c>
      <c r="AA36" s="580" t="s">
        <v>6</v>
      </c>
      <c r="AB36" s="1180"/>
      <c r="AC36" s="1151" t="s">
        <v>108</v>
      </c>
      <c r="AD36" s="1181" t="s">
        <v>776</v>
      </c>
      <c r="AE36" s="1183">
        <v>54780</v>
      </c>
      <c r="AF36" s="1183">
        <v>56360</v>
      </c>
      <c r="AG36" s="1183">
        <v>68900</v>
      </c>
      <c r="AH36" s="1319">
        <v>68900</v>
      </c>
      <c r="AI36" s="1151">
        <v>60000</v>
      </c>
      <c r="AJ36" s="1159">
        <v>140000</v>
      </c>
    </row>
    <row r="37" spans="1:36">
      <c r="A37" s="571">
        <v>36</v>
      </c>
      <c r="B37" s="569" t="s">
        <v>49</v>
      </c>
      <c r="C37" s="570" t="s">
        <v>6</v>
      </c>
      <c r="D37" s="568">
        <f t="shared" si="1"/>
        <v>0</v>
      </c>
      <c r="E37" s="579" t="s">
        <v>49</v>
      </c>
      <c r="F37" s="580" t="s">
        <v>6</v>
      </c>
      <c r="G37" s="581"/>
      <c r="H37" s="579" t="s">
        <v>49</v>
      </c>
      <c r="I37" s="580" t="s">
        <v>6</v>
      </c>
      <c r="J37" s="581"/>
      <c r="K37" s="579" t="s">
        <v>49</v>
      </c>
      <c r="L37" s="580" t="s">
        <v>6</v>
      </c>
      <c r="M37" s="581"/>
      <c r="N37" s="579" t="s">
        <v>49</v>
      </c>
      <c r="O37" s="580" t="s">
        <v>6</v>
      </c>
      <c r="P37" s="581"/>
      <c r="Q37" s="579" t="s">
        <v>49</v>
      </c>
      <c r="R37" s="580" t="s">
        <v>6</v>
      </c>
      <c r="S37" s="581"/>
      <c r="T37" s="579" t="s">
        <v>49</v>
      </c>
      <c r="U37" s="580" t="s">
        <v>6</v>
      </c>
      <c r="V37" s="581"/>
      <c r="W37" s="579" t="s">
        <v>49</v>
      </c>
      <c r="X37" s="580" t="s">
        <v>6</v>
      </c>
      <c r="Y37" s="581"/>
      <c r="Z37" s="579" t="s">
        <v>49</v>
      </c>
      <c r="AA37" s="580" t="s">
        <v>6</v>
      </c>
      <c r="AB37" s="1180"/>
      <c r="AC37" s="1151" t="s">
        <v>112</v>
      </c>
      <c r="AD37" s="1181" t="s">
        <v>107</v>
      </c>
      <c r="AE37" s="1183">
        <v>71970</v>
      </c>
      <c r="AF37" s="1183">
        <v>74060</v>
      </c>
      <c r="AG37" s="1183"/>
      <c r="AH37" s="1319"/>
      <c r="AI37" s="1151">
        <v>60000</v>
      </c>
      <c r="AJ37" s="1159">
        <v>140000</v>
      </c>
    </row>
    <row r="38" spans="1:36">
      <c r="A38" s="571">
        <v>37</v>
      </c>
      <c r="B38" s="569" t="s">
        <v>50</v>
      </c>
      <c r="C38" s="570" t="s">
        <v>6</v>
      </c>
      <c r="D38" s="568">
        <f>IFERROR(IF(OR(AND(VLOOKUP(B38,데이터입력!$B$42:$L$80,6,FALSE)=0,SUM(데이터입력!$L$42:$L$80)&gt;0),IFERROR(IF((ROUND($D$1/10,0)*HLOOKUP($B$1,$E:$AB,A38+1,FALSE)*$C$1)&gt;24000000,ROUND(24000000/12*$C$1,0),IF(OR($B$1=$G$1,$B$1=$M$1,$B$1=$J$1,$B$1=$P$1),ROUND($D$1/10,0)*HLOOKUP($B$1,$E:$AB,A38+1,FALSE)*$C$1,IF($D$1&lt;0,0,ROUND($D$1/10,0)*HLOOKUP($B$1,$E:$AB,A38+1,FALSE)*$C$1))),0)&lt;VLOOKUP(B38,데이터입력!$B$42:$L$80,6,FALSE)),VLOOKUP(B38,데이터입력!$B$42:$L$80,6,FALSE),IFERROR(IF((ROUND($D$1/10,0)*HLOOKUP($B$1,$E:$AB,A38+1,FALSE)*$C$1)&gt;24000000,ROUND(24000000/12*$C$1,0),IF(OR($B$1=$G$1,$B$1=$M$1,$B$1=$J$1,$B$1=$P$1),ROUND($D$1/10,0)*HLOOKUP($B$1,$E:$AB,A38+1,FALSE)*$C$1,IF($D$1&lt;0,0,ROUND($D$1/10,0)*HLOOKUP($B$1,$E:$AB,A38+1,FALSE)*$C$1))),0)),0)</f>
        <v>6000000</v>
      </c>
      <c r="E38" s="579" t="s">
        <v>50</v>
      </c>
      <c r="F38" s="580" t="s">
        <v>6</v>
      </c>
      <c r="G38" s="581">
        <v>100000</v>
      </c>
      <c r="H38" s="579" t="s">
        <v>50</v>
      </c>
      <c r="I38" s="580" t="s">
        <v>6</v>
      </c>
      <c r="J38" s="581">
        <v>50000</v>
      </c>
      <c r="K38" s="579" t="s">
        <v>50</v>
      </c>
      <c r="L38" s="580" t="s">
        <v>6</v>
      </c>
      <c r="M38" s="581">
        <v>100000</v>
      </c>
      <c r="N38" s="579" t="s">
        <v>50</v>
      </c>
      <c r="O38" s="580" t="s">
        <v>6</v>
      </c>
      <c r="P38" s="581">
        <v>50000</v>
      </c>
      <c r="Q38" s="579" t="s">
        <v>50</v>
      </c>
      <c r="R38" s="580" t="s">
        <v>6</v>
      </c>
      <c r="S38" s="581">
        <v>50000</v>
      </c>
      <c r="T38" s="579" t="s">
        <v>50</v>
      </c>
      <c r="U38" s="580" t="s">
        <v>6</v>
      </c>
      <c r="V38" s="581">
        <v>50000</v>
      </c>
      <c r="W38" s="579" t="s">
        <v>50</v>
      </c>
      <c r="X38" s="580" t="s">
        <v>6</v>
      </c>
      <c r="Y38" s="581">
        <v>50000</v>
      </c>
      <c r="Z38" s="579" t="s">
        <v>50</v>
      </c>
      <c r="AA38" s="580" t="s">
        <v>6</v>
      </c>
      <c r="AB38" s="1180">
        <v>50000</v>
      </c>
      <c r="AC38" s="1151" t="s">
        <v>112</v>
      </c>
      <c r="AD38" s="1181" t="s">
        <v>104</v>
      </c>
      <c r="AE38" s="1183">
        <v>66640</v>
      </c>
      <c r="AF38" s="1183">
        <v>68580</v>
      </c>
      <c r="AG38" s="1183"/>
      <c r="AH38" s="1319"/>
      <c r="AI38" s="1151">
        <v>60000</v>
      </c>
      <c r="AJ38" s="1159">
        <v>140000</v>
      </c>
    </row>
    <row r="39" spans="1:36">
      <c r="A39" s="571">
        <v>38</v>
      </c>
      <c r="B39" s="569" t="s">
        <v>51</v>
      </c>
      <c r="C39" s="570" t="s">
        <v>6</v>
      </c>
      <c r="D39" s="568">
        <f>IFERROR(IF(OR(AND(VLOOKUP(B39,데이터입력!$B$42:$L$80,6,FALSE)=0,SUM(데이터입력!$L$42:$L$80)&gt;0),IFERROR(IF((ROUND($D$1/10,0)*HLOOKUP($B$1,$E:$AB,A39+1,FALSE)*$C$1)&gt;24000000,ROUND(24000000/12*$C$1,0),IF(OR($B$1=$G$1,$B$1=$M$1,$B$1=$J$1,$B$1=$P$1),ROUND($D$1/10,0)*HLOOKUP($B$1,$E:$AB,A39+1,FALSE)*$C$1,IF($D$1&lt;0,0,ROUND($D$1/10,0)*HLOOKUP($B$1,$E:$AB,A39+1,FALSE)*$C$1))),0)&lt;VLOOKUP(B39,데이터입력!$B$42:$L$80,6,FALSE)),VLOOKUP(B39,데이터입력!$B$42:$L$80,6,FALSE),IFERROR(IF((ROUND($D$1/10,0)*HLOOKUP($B$1,$E:$AB,A39+1,FALSE)*$C$1)&gt;24000000,ROUND(24000000/12*$C$1,0),IF(OR($B$1=$G$1,$B$1=$M$1,$B$1=$J$1,$B$1=$P$1),ROUND($D$1/10,0)*HLOOKUP($B$1,$E:$AB,A39+1,FALSE)*$C$1,IF($D$1&lt;0,0,ROUND($D$1/10,0)*HLOOKUP($B$1,$E:$AB,A39+1,FALSE)*$C$1))),0)),0)</f>
        <v>12000000</v>
      </c>
      <c r="E39" s="579" t="s">
        <v>51</v>
      </c>
      <c r="F39" s="580" t="s">
        <v>6</v>
      </c>
      <c r="G39" s="581">
        <v>200000</v>
      </c>
      <c r="H39" s="579" t="s">
        <v>51</v>
      </c>
      <c r="I39" s="580" t="s">
        <v>6</v>
      </c>
      <c r="J39" s="581"/>
      <c r="K39" s="579" t="s">
        <v>51</v>
      </c>
      <c r="L39" s="580" t="s">
        <v>6</v>
      </c>
      <c r="M39" s="581">
        <v>200000</v>
      </c>
      <c r="N39" s="579" t="s">
        <v>51</v>
      </c>
      <c r="O39" s="580" t="s">
        <v>6</v>
      </c>
      <c r="P39" s="581">
        <v>150000</v>
      </c>
      <c r="Q39" s="579" t="s">
        <v>51</v>
      </c>
      <c r="R39" s="580" t="s">
        <v>6</v>
      </c>
      <c r="S39" s="581">
        <v>100000</v>
      </c>
      <c r="T39" s="579" t="s">
        <v>51</v>
      </c>
      <c r="U39" s="580" t="s">
        <v>6</v>
      </c>
      <c r="V39" s="581">
        <f>IF($D$1&lt;80,50000,80000)</f>
        <v>50000</v>
      </c>
      <c r="W39" s="579" t="s">
        <v>51</v>
      </c>
      <c r="X39" s="580" t="s">
        <v>6</v>
      </c>
      <c r="Y39" s="581">
        <f>IFERROR(IF(데이터입력!$AC$5=TRUE,ROUND(V39*데이터입력!$O$25,0)+ROUND(IF($D$1&lt;80,50000,100000)*데이터입력!$O$26,0),IF($D$1&lt;80,50000,100000)),0)</f>
        <v>50000</v>
      </c>
      <c r="Z39" s="579" t="s">
        <v>51</v>
      </c>
      <c r="AA39" s="580" t="s">
        <v>6</v>
      </c>
      <c r="AB39" s="1180">
        <f>IF($D$1&lt;80,50000,80000)</f>
        <v>50000</v>
      </c>
      <c r="AC39" s="1151" t="s">
        <v>112</v>
      </c>
      <c r="AD39" s="1181" t="s">
        <v>105</v>
      </c>
      <c r="AE39" s="1183">
        <v>61560</v>
      </c>
      <c r="AF39" s="1183">
        <v>63350</v>
      </c>
      <c r="AG39" s="1183"/>
      <c r="AH39" s="1319"/>
      <c r="AI39" s="1151">
        <v>60000</v>
      </c>
      <c r="AJ39" s="1159">
        <v>140000</v>
      </c>
    </row>
    <row r="40" spans="1:36">
      <c r="A40" s="571">
        <v>39</v>
      </c>
      <c r="B40" s="569" t="s">
        <v>52</v>
      </c>
      <c r="C40" s="570" t="s">
        <v>6</v>
      </c>
      <c r="D40" s="568">
        <f>IFERROR(IF(OR(AND(VLOOKUP(B40,데이터입력!$B$42:$L$80,6,FALSE)=0,SUM(데이터입력!$L$42:$L$80)&gt;0),IFERROR(IF((ROUND($D$1/10,0)*HLOOKUP($B$1,$E:$AB,A40+1,FALSE)*ROUND($C$1/4,0))&gt;1000000,ROUND(1200000/12*$C$1,0),IF(OR($B$1=$G$1,$B$1=$M$1,$B$1=$J$1,$B$1=$P$1),ROUND($D$1/10,0)*HLOOKUP($B$1,$E:$AB,A40+1,FALSE)*ROUND($C$1/4,0),IF($D$1&lt;0,0,ROUND($D$1/10,0)*HLOOKUP($B$1,$E:$AB,A40+1,FALSE)*ROUND($C$1/4,0)))),0)&lt;VLOOKUP(B40,데이터입력!$B$42:$L$80,6,FALSE)),VLOOKUP(B40,데이터입력!$B$42:$L$80,6,FALSE),IFERROR(IF((ROUND($D$1/10,0)*HLOOKUP($B$1,$E:$AB,A40+1,FALSE)*ROUND($C$1/4,0))&gt;1000000,ROUND(1200000/12*$C$1,0),IF(OR($B$1=$G$1,$B$1=$M$1,$B$1=$J$1,$B$1=$P$1),ROUND($D$1/10,0)*HLOOKUP($B$1,$E:$AB,A40+1,FALSE)*ROUND($C$1/4,0),IF($D$1&lt;0,0,ROUND($D$1/10,0)*HLOOKUP($B$1,$E:$AB,A40+1,FALSE)*ROUND($C$1/4,0)))),0)),0)</f>
        <v>756000</v>
      </c>
      <c r="E40" s="579" t="s">
        <v>52</v>
      </c>
      <c r="F40" s="580" t="s">
        <v>6</v>
      </c>
      <c r="G40" s="581">
        <v>50000</v>
      </c>
      <c r="H40" s="579" t="s">
        <v>52</v>
      </c>
      <c r="I40" s="580" t="s">
        <v>6</v>
      </c>
      <c r="J40" s="581">
        <v>30000</v>
      </c>
      <c r="K40" s="579" t="s">
        <v>52</v>
      </c>
      <c r="L40" s="580" t="s">
        <v>6</v>
      </c>
      <c r="M40" s="581">
        <v>20000</v>
      </c>
      <c r="N40" s="579" t="s">
        <v>52</v>
      </c>
      <c r="O40" s="580" t="s">
        <v>6</v>
      </c>
      <c r="P40" s="581">
        <v>20000</v>
      </c>
      <c r="Q40" s="579" t="s">
        <v>52</v>
      </c>
      <c r="R40" s="580" t="s">
        <v>6</v>
      </c>
      <c r="S40" s="581">
        <v>20000</v>
      </c>
      <c r="T40" s="579" t="s">
        <v>52</v>
      </c>
      <c r="U40" s="580" t="s">
        <v>6</v>
      </c>
      <c r="V40" s="581"/>
      <c r="W40" s="579" t="s">
        <v>52</v>
      </c>
      <c r="X40" s="580" t="s">
        <v>6</v>
      </c>
      <c r="Y40" s="581"/>
      <c r="Z40" s="579" t="s">
        <v>52</v>
      </c>
      <c r="AA40" s="580" t="s">
        <v>6</v>
      </c>
      <c r="AB40" s="1180">
        <v>10000</v>
      </c>
      <c r="AC40" s="1151" t="s">
        <v>223</v>
      </c>
      <c r="AD40" s="1181" t="s">
        <v>114</v>
      </c>
      <c r="AE40" s="1183">
        <v>55350</v>
      </c>
      <c r="AF40" s="1183">
        <v>57020</v>
      </c>
      <c r="AG40" s="1183"/>
      <c r="AH40" s="1319"/>
      <c r="AI40" s="1151">
        <v>60000</v>
      </c>
      <c r="AJ40" s="1159">
        <v>110000</v>
      </c>
    </row>
    <row r="41" spans="1:36">
      <c r="A41" s="571">
        <v>40</v>
      </c>
      <c r="B41" s="569" t="s">
        <v>53</v>
      </c>
      <c r="C41" s="570" t="s">
        <v>6</v>
      </c>
      <c r="D41" s="568">
        <f>IFERROR(IF(OR(AND(VLOOKUP(B41,데이터입력!$B$42:$L$80,6,FALSE)=0,SUM(데이터입력!$L$42:$L$80)&gt;0),IFERROR(IF((ROUND($D$1/10,0)*HLOOKUP($B$1,$E:$AB,A41+1,FALSE)*$C$1)&gt;2000000,ROUND(2400000/12*$C$1,0),IF(OR($B$1=$G$1,$B$1=$M$1,$B$1=$J$1,$B$1=$P$1),ROUND($D$1/10,0)*HLOOKUP($B$1,$E:$AB,A41+1,FALSE)*$C$1,IF($D$1&lt;0,0,ROUND($D$1/10,0)*HLOOKUP($B$1,$E:$AB,A41+1,FALSE)*$C$1))),0)&lt;VLOOKUP(B41,데이터입력!$B$42:$L$80,6,FALSE)),VLOOKUP(B41,데이터입력!$B$42:$L$80,6,FALSE),IFERROR(IF((ROUND($D$1/10,0)*HLOOKUP($B$1,$E:$AB,A41+1,FALSE)*$C$1)&gt;2000000,ROUND(2400000/12*$C$1,0),IF(OR($B$1=$G$1,$B$1=$M$1,$B$1=$J$1,$B$1=$P$1),ROUND($D$1/10,0)*HLOOKUP($B$1,$E:$AB,A41+1,FALSE)*$C$1,IF($D$1&lt;0,0,ROUND($D$1/10,0)*HLOOKUP($B$1,$E:$AB,A41+1,FALSE)*$C$1))),0)),0)</f>
        <v>1200000</v>
      </c>
      <c r="E41" s="579" t="s">
        <v>53</v>
      </c>
      <c r="F41" s="580" t="s">
        <v>6</v>
      </c>
      <c r="G41" s="581">
        <v>20000</v>
      </c>
      <c r="H41" s="579" t="s">
        <v>53</v>
      </c>
      <c r="I41" s="580" t="s">
        <v>6</v>
      </c>
      <c r="J41" s="581">
        <v>10000</v>
      </c>
      <c r="K41" s="579" t="s">
        <v>53</v>
      </c>
      <c r="L41" s="580" t="s">
        <v>6</v>
      </c>
      <c r="M41" s="581">
        <v>10000</v>
      </c>
      <c r="N41" s="579" t="s">
        <v>53</v>
      </c>
      <c r="O41" s="580" t="s">
        <v>6</v>
      </c>
      <c r="P41" s="581">
        <v>10000</v>
      </c>
      <c r="Q41" s="579" t="s">
        <v>53</v>
      </c>
      <c r="R41" s="580" t="s">
        <v>6</v>
      </c>
      <c r="S41" s="581">
        <v>5000</v>
      </c>
      <c r="T41" s="579" t="s">
        <v>53</v>
      </c>
      <c r="U41" s="580" t="s">
        <v>6</v>
      </c>
      <c r="V41" s="581"/>
      <c r="W41" s="579" t="s">
        <v>53</v>
      </c>
      <c r="X41" s="580" t="s">
        <v>6</v>
      </c>
      <c r="Y41" s="581"/>
      <c r="Z41" s="579" t="s">
        <v>53</v>
      </c>
      <c r="AA41" s="580" t="s">
        <v>6</v>
      </c>
      <c r="AB41" s="1180">
        <v>2500</v>
      </c>
      <c r="AC41" s="1151" t="s">
        <v>777</v>
      </c>
      <c r="AD41" s="1181" t="s">
        <v>778</v>
      </c>
      <c r="AE41" s="1183">
        <v>33120</v>
      </c>
      <c r="AF41" s="1183">
        <v>34120</v>
      </c>
      <c r="AG41" s="1183"/>
      <c r="AH41" s="1319"/>
      <c r="AI41" s="1151">
        <v>60000</v>
      </c>
      <c r="AJ41" s="1159">
        <v>110000</v>
      </c>
    </row>
    <row r="42" spans="1:36">
      <c r="A42" s="571">
        <v>41</v>
      </c>
      <c r="B42" s="569" t="s">
        <v>54</v>
      </c>
      <c r="C42" s="570" t="s">
        <v>6</v>
      </c>
      <c r="D42" s="568">
        <f>IFERROR(IF(OR(AND(VLOOKUP(B42,데이터입력!$B$42:$L$80,6,FALSE)=0,SUM(데이터입력!$L$42:$L$80)&gt;0),IFERROR(IF(OR($B$1=$G$1,$B$1=$M$1,$D$1&gt;34),ROUND($D$1/10*HLOOKUP($B$1,$E:$AB,A42+1,FALSE)*$C$1*$A$1,-5),IF(OR($B$1=$G$1,$B$1=$M$1),ROUND(($D$1/10*HLOOKUP($B$1,$E:$AB,A42+1,FALSE)*$C$1),0),ROUND($D$1/10,1)*HLOOKUP($B$1,$E:$AB,A42+1,FALSE)*$C$1)),0)&lt;VLOOKUP(B42,데이터입력!$B$42:$L$80,6,FALSE)),ROUND(VLOOKUP(B42,데이터입력!$B$42:$L$80,6,FALSE)*데이터입력!$Y$6,0),IFERROR(IF(OR($B$1=$G$1,$B$1=$M$1,$D$1&gt;34),ROUND($D$1/10*HLOOKUP($B$1,$E:$AB,A42+1,FALSE)*$C$1*$A$1,-5),IF(OR($B$1=$G$1,$B$1=$M$1),ROUND(($D$1/10*HLOOKUP($B$1,$E:$AB,A42+1,FALSE)*$C$1),0),ROUND($D$1/10,1)*HLOOKUP($B$1,$E:$AB,A42+1,FALSE)*$C$1)),0)),0)</f>
        <v>66000000</v>
      </c>
      <c r="E42" s="579" t="s">
        <v>54</v>
      </c>
      <c r="F42" s="580" t="s">
        <v>6</v>
      </c>
      <c r="G42" s="581">
        <v>650000</v>
      </c>
      <c r="H42" s="579" t="s">
        <v>54</v>
      </c>
      <c r="I42" s="580" t="s">
        <v>6</v>
      </c>
      <c r="J42" s="581">
        <v>500000</v>
      </c>
      <c r="K42" s="579" t="s">
        <v>54</v>
      </c>
      <c r="L42" s="580" t="s">
        <v>6</v>
      </c>
      <c r="M42" s="581">
        <v>500000</v>
      </c>
      <c r="N42" s="579" t="s">
        <v>54</v>
      </c>
      <c r="O42" s="580" t="s">
        <v>6</v>
      </c>
      <c r="P42" s="581">
        <v>400000</v>
      </c>
      <c r="Q42" s="579" t="s">
        <v>54</v>
      </c>
      <c r="R42" s="580" t="s">
        <v>6</v>
      </c>
      <c r="S42" s="581">
        <v>150000</v>
      </c>
      <c r="T42" s="579" t="s">
        <v>54</v>
      </c>
      <c r="U42" s="580" t="s">
        <v>6</v>
      </c>
      <c r="V42" s="581">
        <f>IF($D$1&lt;80,20000,25000)</f>
        <v>20000</v>
      </c>
      <c r="W42" s="579" t="s">
        <v>54</v>
      </c>
      <c r="X42" s="580" t="s">
        <v>6</v>
      </c>
      <c r="Y42" s="581">
        <f>IFERROR(IF(데이터입력!$AC$5=TRUE,ROUND(V42*데이터입력!$O$25,0)+ROUND(IF($D$1&lt;80,20000,25000)*데이터입력!$O$26,0),IF($D$1&lt;80,20000,25000)),0)</f>
        <v>20000</v>
      </c>
      <c r="Z42" s="579" t="s">
        <v>54</v>
      </c>
      <c r="AA42" s="580" t="s">
        <v>6</v>
      </c>
      <c r="AB42" s="1180">
        <f>IF($D$1&lt;80,20000,25000)</f>
        <v>20000</v>
      </c>
      <c r="AC42" s="1151" t="s">
        <v>777</v>
      </c>
      <c r="AD42" s="1181" t="s">
        <v>779</v>
      </c>
      <c r="AE42" s="1183">
        <v>24580</v>
      </c>
      <c r="AF42" s="1183">
        <v>25320</v>
      </c>
      <c r="AG42" s="1183"/>
      <c r="AH42" s="1319"/>
      <c r="AI42" s="1151">
        <v>60000</v>
      </c>
      <c r="AJ42" s="1159">
        <v>110000</v>
      </c>
    </row>
    <row r="43" spans="1:36">
      <c r="A43" s="571">
        <v>42</v>
      </c>
      <c r="B43" s="569" t="str">
        <f>IFERROR(IF(VLOOKUP("공공요금 및 제세공과금",예산실적비교표!$O$8:$R$432,2,FALSE)+VLOOKUP("공공요금 및 제세공과금",예산실적비교표!$O$8:$R$432,3,FALSE)&gt;=0,"공공요금 및 제세공과금","공공요금 및 각종 세금공과금"),"공공요금 및 각종 세금공과금")</f>
        <v>공공요금 및 각종 세금공과금</v>
      </c>
      <c r="C43" s="570" t="s">
        <v>6</v>
      </c>
      <c r="D43" s="568">
        <f>IFERROR(IF(OR(AND(VLOOKUP(B43,데이터입력!$B$42:$L$80,6,FALSE)=0,SUM(데이터입력!$L$42:$L$80)&gt;0),IFERROR(IF(OR($B$1=$G$1,$B$1=$M$1,$D$1&gt;34),ROUND($D$1/10*HLOOKUP($B$1,$E:$AB,A43+1,FALSE)*$C$1*$A$1,-5),IF(OR($B$1=$G$1,$B$1=$M$1),ROUND(($D$1/10*HLOOKUP($B$1,$E:$AB,A43+1,FALSE)*$C$1),0),ROUND($D$1/10,1)*HLOOKUP($B$1,$E:$AB,A43+1,FALSE)*$C$1)),0)&lt;VLOOKUP(B43,데이터입력!$B$42:$L$80,6,FALSE)),ROUND(VLOOKUP(B43,데이터입력!$B$42:$L$80,6,FALSE)*데이터입력!$Y$6,0),IFERROR(IF(OR($B$1=$G$1,$B$1=$M$1,$D$1&gt;34),ROUND($D$1/10*HLOOKUP($B$1,$E:$AB,A43+1,FALSE)*$C$1*$A$1,-5),IF(OR($B$1=$G$1,$B$1=$M$1),ROUND(($D$1/10*HLOOKUP($B$1,$E:$AB,A43+1,FALSE)*$C$1),0),ROUND($D$1/10,1)*HLOOKUP($B$1,$E:$AB,A43+1,FALSE)*$C$1)),0)),0)</f>
        <v>87000000</v>
      </c>
      <c r="E43" s="579" t="str">
        <f>IFERROR(IF(VLOOKUP("공공요금 및 제세공과금",예산실적비교표!$O$8:$R$432,2,FALSE)+VLOOKUP("공공요금 및 제세공과금",예산실적비교표!$O$8:$R$432,3,FALSE)&gt;=0,"공공요금 및 제세공과금","공공요금 및 각종 세금공과금"),"공공요금 및 각종 세금공과금")</f>
        <v>공공요금 및 각종 세금공과금</v>
      </c>
      <c r="F43" s="580" t="s">
        <v>6</v>
      </c>
      <c r="G43" s="581">
        <v>850000</v>
      </c>
      <c r="H43" s="579" t="str">
        <f>IFERROR(IF(VLOOKUP("공공요금 및 제세공과금",예산실적비교표!$O$8:$R$432,2,FALSE)+VLOOKUP("공공요금 및 제세공과금",예산실적비교표!$O$8:$R$432,3,FALSE)&gt;=0,"공공요금 및 제세공과금","공공요금 및 각종 세금공과금"),"공공요금 및 각종 세금공과금")</f>
        <v>공공요금 및 각종 세금공과금</v>
      </c>
      <c r="I43" s="580" t="s">
        <v>6</v>
      </c>
      <c r="J43" s="581">
        <v>650000</v>
      </c>
      <c r="K43" s="579" t="str">
        <f>IFERROR(IF(VLOOKUP("공공요금 및 제세공과금",예산실적비교표!$O$8:$R$432,2,FALSE)+VLOOKUP("공공요금 및 제세공과금",예산실적비교표!$O$8:$R$432,3,FALSE)&gt;=0,"공공요금 및 제세공과금","공공요금 및 각종 세금공과금"),"공공요금 및 각종 세금공과금")</f>
        <v>공공요금 및 각종 세금공과금</v>
      </c>
      <c r="L43" s="580" t="s">
        <v>6</v>
      </c>
      <c r="M43" s="581">
        <v>650000</v>
      </c>
      <c r="N43" s="579" t="str">
        <f>IFERROR(IF(VLOOKUP("공공요금 및 제세공과금",예산실적비교표!$O$8:$R$432,2,FALSE)+VLOOKUP("공공요금 및 제세공과금",예산실적비교표!$O$8:$R$432,3,FALSE)&gt;=0,"공공요금 및 제세공과금","공공요금 및 각종 세금공과금"),"공공요금 및 각종 세금공과금")</f>
        <v>공공요금 및 각종 세금공과금</v>
      </c>
      <c r="O43" s="580" t="s">
        <v>6</v>
      </c>
      <c r="P43" s="581">
        <v>550000</v>
      </c>
      <c r="Q43" s="579" t="str">
        <f>IFERROR(IF(VLOOKUP("공공요금 및 제세공과금",예산실적비교표!$O$8:$R$432,2,FALSE)+VLOOKUP("공공요금 및 제세공과금",예산실적비교표!$O$8:$R$432,3,FALSE)&gt;=0,"공공요금 및 제세공과금","공공요금 및 각종 세금공과금"),"공공요금 및 각종 세금공과금")</f>
        <v>공공요금 및 각종 세금공과금</v>
      </c>
      <c r="R43" s="580" t="s">
        <v>6</v>
      </c>
      <c r="S43" s="581">
        <v>180000</v>
      </c>
      <c r="T43" s="579" t="str">
        <f>IFERROR(IF(VLOOKUP("공공요금 및 제세공과금",예산실적비교표!$O$8:$R$432,2,FALSE)+VLOOKUP("공공요금 및 제세공과금",예산실적비교표!$O$8:$R$432,3,FALSE)&gt;=0,"공공요금 및 제세공과금","공공요금 및 각종 세금공과금"),"공공요금 및 각종 세금공과금")</f>
        <v>공공요금 및 각종 세금공과금</v>
      </c>
      <c r="U43" s="580" t="s">
        <v>6</v>
      </c>
      <c r="V43" s="581">
        <f>IF($D$1&lt;80,30000,35000)</f>
        <v>30000</v>
      </c>
      <c r="W43" s="579" t="str">
        <f>IFERROR(IF(VLOOKUP("공공요금 및 제세공과금",예산실적비교표!$O$8:$R$432,2,FALSE)+VLOOKUP("공공요금 및 제세공과금",예산실적비교표!$O$8:$R$432,3,FALSE)&gt;=0,"공공요금 및 제세공과금","공공요금 및 각종 세금공과금"),"공공요금 및 각종 세금공과금")</f>
        <v>공공요금 및 각종 세금공과금</v>
      </c>
      <c r="X43" s="580" t="s">
        <v>6</v>
      </c>
      <c r="Y43" s="581">
        <f>IFERROR(IF(데이터입력!$AC$5=TRUE,ROUND(V43*데이터입력!$O$25,0)+ROUND(IF($D$1&lt;80,30000,35000)*데이터입력!$O$26,0),IF($D$1&lt;80,30000,35000)),0)</f>
        <v>30000</v>
      </c>
      <c r="Z43" s="579" t="str">
        <f>IFERROR(IF(VLOOKUP("공공요금 및 제세공과금",예산실적비교표!$O$8:$R$432,2,FALSE)+VLOOKUP("공공요금 및 제세공과금",예산실적비교표!$O$8:$R$432,3,FALSE)&gt;=0,"공공요금 및 제세공과금","공공요금 및 각종 세금공과금"),"공공요금 및 각종 세금공과금")</f>
        <v>공공요금 및 각종 세금공과금</v>
      </c>
      <c r="AA43" s="580" t="s">
        <v>6</v>
      </c>
      <c r="AB43" s="1180">
        <f>IF($D$1&lt;80,30000,35000)</f>
        <v>30000</v>
      </c>
      <c r="AC43" s="1151" t="s">
        <v>225</v>
      </c>
      <c r="AD43" s="1181" t="s">
        <v>117</v>
      </c>
      <c r="AE43" s="1183">
        <v>86480</v>
      </c>
      <c r="AF43" s="1183">
        <v>88990</v>
      </c>
      <c r="AG43" s="1183"/>
      <c r="AH43" s="1319"/>
      <c r="AI43" s="1151">
        <v>60000</v>
      </c>
      <c r="AJ43" s="1159">
        <v>110000</v>
      </c>
    </row>
    <row r="44" spans="1:36">
      <c r="A44" s="571">
        <v>43</v>
      </c>
      <c r="B44" s="569" t="s">
        <v>55</v>
      </c>
      <c r="C44" s="570" t="s">
        <v>6</v>
      </c>
      <c r="D44" s="568">
        <f>IFERROR(IF(OR(AND(VLOOKUP(B44,데이터입력!$B$42:$L$80,6,FALSE)=0,SUM(데이터입력!$L$42:$L$80)&gt;0),IFERROR(IF(IFERROR(IF(OR($B$1=$G$1,$B$1=$M$1,$D$1&gt;34),ROUND($D$1/10*HLOOKUP($B$1,$E:$AB,A44+1,FALSE)*$C$1*$A$1,-5),IF(OR($B$1=$G$1,$B$1=$M$1),ROUND(($D$1/10*HLOOKUP($B$1,$E:$AB,A44+1,FALSE)*$C$1),0),ROUND($D$1/10,1)*HLOOKUP($B$1,$E:$AB,A44+1,FALSE)*$C$1)),0)&lt;VLOOKUP(B44,데이터입력!$B$42:$G$80,6,FALSE),VLOOKUP(B44,데이터입력!$B$42:$G$80,6,FALSE)*데이터입력!$Y$6,IFERROR(IF(OR($B$1=$G$1,$B$1=$M$1,$D$1&gt;34),ROUND($D$1/10*HLOOKUP($B$1,$E:$AB,A44+1,FALSE)*$C$1*$A$1,-5),IF(OR($B$1=$G$1,$B$1=$M$1),ROUND(($D$1/10*HLOOKUP($B$1,$E:$AB,A44+1,FALSE)*$C$1),0),ROUND($D$1/10,1)*HLOOKUP($B$1,$E:$AB,A44+1,FALSE)*$C$1)),0)),0)&lt;VLOOKUP(B44,데이터입력!$B$42:$L$80,6,FALSE)),ROUND(VLOOKUP(B44,데이터입력!$B$42:$L$80,6,FALSE)*데이터입력!$Y$6,0),IFERROR(IF(IFERROR(IF(OR($B$1=$G$1,$B$1=$M$1,$D$1&gt;34),ROUND($D$1/10*HLOOKUP($B$1,$E:$AB,A44+1,FALSE)*$C$1*$A$1,-5),IF(OR($B$1=$G$1,$B$1=$M$1),ROUND(($D$1/10*HLOOKUP($B$1,$E:$AB,A44+1,FALSE)*$C$1),0),ROUND($D$1/10,1)*HLOOKUP($B$1,$E:$AB,A44+1,FALSE)*$C$1)),0)&lt;VLOOKUP(B44,데이터입력!$B$42:$G$80,6,FALSE),VLOOKUP(B44,데이터입력!$B$42:$G$80,6,FALSE)*데이터입력!$Y$6,IFERROR(IF(OR($B$1=$G$1,$B$1=$M$1,$D$1&gt;34),ROUND($D$1/10*HLOOKUP($B$1,$E:$AB,A44+1,FALSE)*$C$1*$A$1,-5),IF(OR($B$1=$G$1,$B$1=$M$1),ROUND(($D$1/10*HLOOKUP($B$1,$E:$AB,A44+1,FALSE)*$C$1),0),ROUND($D$1/10,1)*HLOOKUP($B$1,$E:$AB,A44+1,FALSE)*$C$1)),0)),0)),0)</f>
        <v>7200000</v>
      </c>
      <c r="E44" s="579" t="s">
        <v>55</v>
      </c>
      <c r="F44" s="580" t="s">
        <v>6</v>
      </c>
      <c r="G44" s="581"/>
      <c r="H44" s="579" t="s">
        <v>55</v>
      </c>
      <c r="I44" s="580" t="s">
        <v>6</v>
      </c>
      <c r="J44" s="581"/>
      <c r="K44" s="579" t="s">
        <v>55</v>
      </c>
      <c r="L44" s="580" t="s">
        <v>6</v>
      </c>
      <c r="M44" s="581">
        <v>300000</v>
      </c>
      <c r="N44" s="579" t="s">
        <v>55</v>
      </c>
      <c r="O44" s="580" t="s">
        <v>6</v>
      </c>
      <c r="P44" s="581"/>
      <c r="Q44" s="579" t="s">
        <v>55</v>
      </c>
      <c r="R44" s="580" t="s">
        <v>6</v>
      </c>
      <c r="S44" s="581"/>
      <c r="T44" s="579" t="s">
        <v>55</v>
      </c>
      <c r="U44" s="580" t="s">
        <v>6</v>
      </c>
      <c r="V44" s="581">
        <v>125000</v>
      </c>
      <c r="W44" s="579" t="s">
        <v>55</v>
      </c>
      <c r="X44" s="580" t="s">
        <v>6</v>
      </c>
      <c r="Y44" s="581">
        <f>IFERROR(IF(데이터입력!$AC$5=TRUE,ROUND(V44*데이터입력!$O$25,0),IF($D$1&lt;80,0,0)),0)</f>
        <v>0</v>
      </c>
      <c r="Z44" s="579" t="s">
        <v>55</v>
      </c>
      <c r="AA44" s="580" t="s">
        <v>6</v>
      </c>
      <c r="AB44" s="1180"/>
      <c r="AC44" s="1151" t="s">
        <v>225</v>
      </c>
      <c r="AD44" s="1181" t="s">
        <v>118</v>
      </c>
      <c r="AE44" s="1183">
        <v>48690</v>
      </c>
      <c r="AF44" s="1183">
        <v>50100</v>
      </c>
      <c r="AG44" s="1183"/>
      <c r="AH44" s="1319"/>
      <c r="AI44" s="1151">
        <v>60000</v>
      </c>
      <c r="AJ44" s="1159">
        <v>110000</v>
      </c>
    </row>
    <row r="45" spans="1:36" ht="17.25" thickBot="1">
      <c r="A45" s="571">
        <v>44</v>
      </c>
      <c r="B45" s="569" t="s">
        <v>56</v>
      </c>
      <c r="C45" s="570" t="s">
        <v>6</v>
      </c>
      <c r="D45" s="568">
        <f>IFERROR(IF(D1=0,0,IF(OR(AND(VLOOKUP(B45,데이터입력!$B$42:$L$80,6,FALSE)=0,SUM(데이터입력!$L$42:$L$80)&gt;0),IFERROR(IF((ROUND($D$1/10,0)*HLOOKUP($B$1,$E:$AB,A45+1,FALSE)*$C$1)&gt;36000000,ROUND(36000000/12*$C$1,0),IF(OR($B$1=$G$1,$B$1=$J$1,$B$1=$M$1,$B$1=$P$1),IF($D$1&gt;34,ROUND($D$1/10*HLOOKUP($B$1,$E:$AB,A45+1,FALSE)*$C$1*$A$1,0),ROUND($D$1/10*HLOOKUP($B$1,$E:$AB,A45+1,FALSE)*$C$1,0)),IF(OR($B$1=$S$1,$B$1=$AB$1),ROUND(400000*$C$1,0),ROUND(400000/2*$C$1,0)))),0)&lt;VLOOKUP(B45,데이터입력!$B$42:$L$80,6,FALSE)),ROUND(VLOOKUP(B45,데이터입력!$B$42:$L$80,6,FALSE)*데이터입력!$Y$6,-4),IFERROR(IF((ROUND($D$1/10,0)*HLOOKUP($B$1,$E:$AB,A45+1,FALSE)*$C$1)&gt;36000000,ROUND(36000000/12*$C$1,0),IF(OR($B$1=$G$1,$B$1=$J$1,$B$1=$M$1,$B$1=$P$1),IF($D$1&gt;34,ROUND($D$1/10*HLOOKUP($B$1,$E:$AB,A45+1,FALSE)*$C$1*$A$1,0),ROUND($D$1/10*HLOOKUP($B$1,$E:$AB,A45+1,FALSE)*$C$1,0)),IF(OR($B$1=$S$1,$B$1=$AB$1),ROUND(400000*$C$1,0),ROUND(400000/2*$C$1,0)))),0))),0)</f>
        <v>0</v>
      </c>
      <c r="E45" s="579" t="s">
        <v>56</v>
      </c>
      <c r="F45" s="580" t="s">
        <v>6</v>
      </c>
      <c r="G45" s="581"/>
      <c r="H45" s="579" t="s">
        <v>56</v>
      </c>
      <c r="I45" s="580" t="s">
        <v>6</v>
      </c>
      <c r="J45" s="581">
        <v>700000</v>
      </c>
      <c r="K45" s="579" t="s">
        <v>56</v>
      </c>
      <c r="L45" s="580" t="s">
        <v>6</v>
      </c>
      <c r="M45" s="581">
        <v>750000</v>
      </c>
      <c r="N45" s="579" t="s">
        <v>56</v>
      </c>
      <c r="O45" s="580" t="s">
        <v>6</v>
      </c>
      <c r="P45" s="581">
        <v>700000</v>
      </c>
      <c r="Q45" s="579" t="s">
        <v>56</v>
      </c>
      <c r="R45" s="580" t="s">
        <v>6</v>
      </c>
      <c r="S45" s="581"/>
      <c r="T45" s="579" t="s">
        <v>56</v>
      </c>
      <c r="U45" s="580" t="s">
        <v>6</v>
      </c>
      <c r="V45" s="581"/>
      <c r="W45" s="579" t="s">
        <v>56</v>
      </c>
      <c r="X45" s="580" t="s">
        <v>6</v>
      </c>
      <c r="Y45" s="581"/>
      <c r="Z45" s="579" t="s">
        <v>56</v>
      </c>
      <c r="AA45" s="580" t="s">
        <v>6</v>
      </c>
      <c r="AB45" s="1180"/>
      <c r="AC45" s="1154" t="s">
        <v>227</v>
      </c>
      <c r="AD45" s="1184" t="s">
        <v>120</v>
      </c>
      <c r="AE45" s="1185">
        <v>62930</v>
      </c>
      <c r="AF45" s="1185">
        <v>64690</v>
      </c>
      <c r="AG45" s="1185"/>
      <c r="AH45" s="1320"/>
      <c r="AI45" s="1154">
        <v>60000</v>
      </c>
      <c r="AJ45" s="1161">
        <v>110000</v>
      </c>
    </row>
    <row r="46" spans="1:36">
      <c r="A46" s="571">
        <v>45</v>
      </c>
      <c r="B46" s="569" t="s">
        <v>57</v>
      </c>
      <c r="C46" s="570" t="s">
        <v>6</v>
      </c>
      <c r="D46" s="568">
        <f>IFERROR(IF(OR(AND(VLOOKUP(B46,데이터입력!$B$42:$L$80,6,FALSE)=0,SUM(데이터입력!$L$42:$L$80)&gt;0),IFERROR(IF(OR($B$1=$G$1,$B$1=$M$1,$D$1&gt;34),ROUND($D$1/10*HLOOKUP($B$1,$E:$AB,A46+1,FALSE)*$C$1*$A$1,-5),IF(OR($B$1=$G$1,$B$1=$M$1),ROUND(($D$1/10*HLOOKUP($B$1,$E:$AB,A46+1,FALSE)*$C$1),0),ROUND($D$1/10,1)*HLOOKUP($B$1,$E:$AB,A46+1,FALSE)*$C$1)),0)&lt;VLOOKUP(B46,데이터입력!$B$42:$L$80,6,FALSE)),ROUND(VLOOKUP(B46,데이터입력!$B$42:$L$80,6,FALSE)*데이터입력!$Y$6,0),IFERROR(IF(OR($B$1=$G$1,$B$1=$M$1,$D$1&gt;34),ROUND($D$1/10*HLOOKUP($B$1,$E:$AB,A46+1,FALSE)*$C$1*$A$1,-5),IF(OR($B$1=$G$1,$B$1=$M$1),ROUND(($D$1/10*HLOOKUP($B$1,$E:$AB,A46+1,FALSE)*$C$1),0),ROUND($D$1/10,1)*HLOOKUP($B$1,$E:$AB,A46+1,FALSE)*$C$1)),0)),0)</f>
        <v>24378000</v>
      </c>
      <c r="E46" s="579" t="s">
        <v>57</v>
      </c>
      <c r="F46" s="580" t="s">
        <v>6</v>
      </c>
      <c r="G46" s="581">
        <v>450000</v>
      </c>
      <c r="H46" s="579" t="s">
        <v>57</v>
      </c>
      <c r="I46" s="580" t="s">
        <v>6</v>
      </c>
      <c r="J46" s="581">
        <v>200000</v>
      </c>
      <c r="K46" s="579" t="s">
        <v>57</v>
      </c>
      <c r="L46" s="580" t="s">
        <v>6</v>
      </c>
      <c r="M46" s="581">
        <v>350000</v>
      </c>
      <c r="N46" s="579" t="s">
        <v>57</v>
      </c>
      <c r="O46" s="580" t="s">
        <v>6</v>
      </c>
      <c r="P46" s="581">
        <v>200000</v>
      </c>
      <c r="Q46" s="579" t="s">
        <v>57</v>
      </c>
      <c r="R46" s="580" t="s">
        <v>6</v>
      </c>
      <c r="S46" s="581">
        <v>100000</v>
      </c>
      <c r="T46" s="579" t="s">
        <v>57</v>
      </c>
      <c r="U46" s="580" t="s">
        <v>6</v>
      </c>
      <c r="V46" s="581">
        <v>31000</v>
      </c>
      <c r="W46" s="579" t="s">
        <v>57</v>
      </c>
      <c r="X46" s="580" t="s">
        <v>6</v>
      </c>
      <c r="Y46" s="581">
        <f>IFERROR(IF(데이터입력!$AC$5=TRUE,ROUND(V46*데이터입력!$O$25,0)+ROUND(IF($D$1&lt;80,31000,31000)*데이터입력!$O$26,0),IF($D$1&lt;80,31000,31000)),0)</f>
        <v>31000</v>
      </c>
      <c r="Z46" s="579" t="s">
        <v>57</v>
      </c>
      <c r="AA46" s="580" t="s">
        <v>6</v>
      </c>
      <c r="AB46" s="581">
        <v>31000</v>
      </c>
      <c r="AC46" s="1317"/>
      <c r="AE46" s="1318"/>
    </row>
    <row r="47" spans="1:36">
      <c r="A47" s="571">
        <v>46</v>
      </c>
      <c r="B47" s="569" t="s">
        <v>58</v>
      </c>
      <c r="C47" s="570" t="s">
        <v>6</v>
      </c>
      <c r="D47" s="568">
        <f>IFERROR(IF(OR(AND(VLOOKUP(B47,데이터입력!$B$42:$L$80,6,FALSE)=0,SUM(데이터입력!$L$42:$L$80)&gt;0),IFERROR(IF(OR($B$1=$G$1,$B$1=$M$1,$D$1&gt;34),ROUND($D$1/10*HLOOKUP($B$1,$E:$AB,A47+1,FALSE)*$C$1*$A$1,0),IF(OR($B$1=$G$1,$B$1=$M$1),ROUND(($D$1/10*HLOOKUP($B$1,$E:$AB,A47+1,FALSE)*$C$1),0),ROUND($D$1/10,1)*HLOOKUP($B$1,$E:$AB,A47+1,FALSE)*$C$1)),0)&lt;VLOOKUP(B47,데이터입력!$B$42:$L$80,6,FALSE)),VLOOKUP(B47,데이터입력!$B$42:$L$80,6,FALSE),IFERROR(IF(OR($B$1=$G$1,$B$1=$M$1,$D$1&gt;34),ROUND($D$1/10*HLOOKUP($B$1,$E:$AB,A47+1,FALSE)*$C$1*$A$1,0),IF(OR($B$1=$G$1,$B$1=$M$1),ROUND(($D$1/10*HLOOKUP($B$1,$E:$AB,A47+1,FALSE)*$C$1),0),ROUND($D$1/10,1)*HLOOKUP($B$1,$E:$AB,A47+1,FALSE)*$C$1)),0)),0)</f>
        <v>30000000</v>
      </c>
      <c r="E47" s="579" t="s">
        <v>58</v>
      </c>
      <c r="F47" s="580" t="s">
        <v>6</v>
      </c>
      <c r="G47" s="581">
        <v>250000</v>
      </c>
      <c r="H47" s="579" t="s">
        <v>58</v>
      </c>
      <c r="I47" s="580" t="s">
        <v>6</v>
      </c>
      <c r="J47" s="581">
        <v>50000</v>
      </c>
      <c r="K47" s="579" t="s">
        <v>58</v>
      </c>
      <c r="L47" s="580" t="s">
        <v>6</v>
      </c>
      <c r="M47" s="581">
        <v>80000</v>
      </c>
      <c r="N47" s="579" t="s">
        <v>58</v>
      </c>
      <c r="O47" s="580" t="s">
        <v>6</v>
      </c>
      <c r="P47" s="581">
        <v>50000</v>
      </c>
      <c r="Q47" s="579" t="s">
        <v>58</v>
      </c>
      <c r="R47" s="580" t="s">
        <v>6</v>
      </c>
      <c r="S47" s="581"/>
      <c r="T47" s="579" t="s">
        <v>58</v>
      </c>
      <c r="U47" s="580" t="s">
        <v>6</v>
      </c>
      <c r="V47" s="581"/>
      <c r="W47" s="579" t="s">
        <v>58</v>
      </c>
      <c r="X47" s="580" t="s">
        <v>6</v>
      </c>
      <c r="Y47" s="581"/>
      <c r="Z47" s="579" t="s">
        <v>58</v>
      </c>
      <c r="AA47" s="580" t="s">
        <v>6</v>
      </c>
      <c r="AB47" s="581"/>
    </row>
    <row r="48" spans="1:36">
      <c r="A48" s="571">
        <v>47</v>
      </c>
      <c r="B48" s="569" t="s">
        <v>59</v>
      </c>
      <c r="C48" s="570" t="s">
        <v>6</v>
      </c>
      <c r="D48" s="568">
        <f>IFERROR(IF(OR(AND(VLOOKUP(B48,데이터입력!$B$42:$L$80,6,FALSE)=0,SUM(데이터입력!$L$42:$L$80)&gt;0),IFERROR(IF(OR($B$1=$G$1,$B$1=$M$1,$D$1&gt;34),ROUND($D$1/10*HLOOKUP($B$1,$E:$AB,A48+1,FALSE)*$C$1*$A$1,0),IF(OR($B$1=$G$1,$B$1=$M$1),ROUND(($D$1/10*HLOOKUP($B$1,$E:$AB,A48+1,FALSE)*$C$1),0),ROUND($D$1/10,1)*HLOOKUP($B$1,$E:$AB,A48+1,FALSE)*$C$1)),0)&lt;VLOOKUP(B48,데이터입력!$B$42:$L$80,6,FALSE)),VLOOKUP(B48,데이터입력!$B$42:$L$80,6,FALSE),IFERROR(IF(OR($B$1=$G$1,$B$1=$M$1,$D$1&gt;34),ROUND($D$1/10*HLOOKUP($B$1,$E:$AB,A48+1,FALSE)*$C$1*$A$1,0),IF(OR($B$1=$G$1,$B$1=$M$1),ROUND(($D$1/10*HLOOKUP($B$1,$E:$AB,A48+1,FALSE)*$C$1),0),ROUND($D$1/10,1)*HLOOKUP($B$1,$E:$AB,A48+1,FALSE)*$C$1)),0)),0)</f>
        <v>16200000</v>
      </c>
      <c r="E48" s="579" t="s">
        <v>59</v>
      </c>
      <c r="F48" s="580" t="s">
        <v>6</v>
      </c>
      <c r="G48" s="581">
        <v>300000</v>
      </c>
      <c r="H48" s="579" t="s">
        <v>59</v>
      </c>
      <c r="I48" s="580" t="s">
        <v>6</v>
      </c>
      <c r="J48" s="581">
        <v>100000</v>
      </c>
      <c r="K48" s="579" t="s">
        <v>59</v>
      </c>
      <c r="L48" s="580" t="s">
        <v>6</v>
      </c>
      <c r="M48" s="581">
        <v>150000</v>
      </c>
      <c r="N48" s="579" t="s">
        <v>59</v>
      </c>
      <c r="O48" s="580" t="s">
        <v>6</v>
      </c>
      <c r="P48" s="581">
        <v>100000</v>
      </c>
      <c r="Q48" s="579" t="s">
        <v>59</v>
      </c>
      <c r="R48" s="580" t="s">
        <v>6</v>
      </c>
      <c r="S48" s="581">
        <v>30000</v>
      </c>
      <c r="T48" s="579" t="s">
        <v>59</v>
      </c>
      <c r="U48" s="580" t="s">
        <v>6</v>
      </c>
      <c r="V48" s="581">
        <f>IF($D$1&lt;80,15000,160000)</f>
        <v>15000</v>
      </c>
      <c r="W48" s="579" t="s">
        <v>59</v>
      </c>
      <c r="X48" s="580" t="s">
        <v>6</v>
      </c>
      <c r="Y48" s="581">
        <f>IFERROR(IF(데이터입력!$AC$5=TRUE,ROUND(V48*데이터입력!$O$25,0)+ROUND(IF($D$1&lt;80,0,0)*데이터입력!$O$26,0),IF($D$1&lt;80,0,0)),0)</f>
        <v>0</v>
      </c>
      <c r="Z48" s="579" t="s">
        <v>59</v>
      </c>
      <c r="AA48" s="580" t="s">
        <v>6</v>
      </c>
      <c r="AB48" s="581">
        <v>31000</v>
      </c>
    </row>
    <row r="49" spans="1:28">
      <c r="A49" s="571">
        <v>48</v>
      </c>
      <c r="B49" s="569" t="s">
        <v>60</v>
      </c>
      <c r="C49" s="570" t="s">
        <v>6</v>
      </c>
      <c r="D49" s="568">
        <f>IFERROR(IF(OR(AND(VLOOKUP(B49,데이터입력!$B$42:$L$80,6,FALSE)=0,SUM(데이터입력!$L$42:$L$80)&gt;0),IFERROR(IF(OR($B$1=$G$1,$B$1=$M$1,$D$1&gt;34),ROUND($D$1/10*HLOOKUP($B$1,$E:$AB,A49+1,FALSE)*$C$1*$A$1,0),IF(OR($B$1=$G$1,$B$1=$M$1),ROUND(($D$1/10*HLOOKUP($B$1,$E:$AB,A49+1,FALSE)*$C$1),0),ROUND($D$1/10,1)*HLOOKUP($B$1,$E:$AB,A49+1,FALSE)*$C$1)),0)&lt;VLOOKUP(B49,데이터입력!$B$42:$L$80,6,FALSE)),VLOOKUP(B49,데이터입력!$B$42:$L$80,6,FALSE),IFERROR(IF(OR($B$1=$G$1,$B$1=$M$1,$D$1&gt;34),ROUND($D$1/10*HLOOKUP($B$1,$E:$AB,A49+1,FALSE)*$C$1*$A$1,0),IF(OR($B$1=$G$1,$B$1=$M$1),ROUND(($D$1/10*HLOOKUP($B$1,$E:$AB,A49+1,FALSE)*$C$1),0),ROUND($D$1/10,1)*HLOOKUP($B$1,$E:$AB,A49+1,FALSE)*$C$1)),0)),0)</f>
        <v>16800000</v>
      </c>
      <c r="E49" s="579" t="s">
        <v>60</v>
      </c>
      <c r="F49" s="580" t="s">
        <v>6</v>
      </c>
      <c r="G49" s="581">
        <v>250000</v>
      </c>
      <c r="H49" s="579" t="s">
        <v>60</v>
      </c>
      <c r="I49" s="580" t="s">
        <v>6</v>
      </c>
      <c r="J49" s="581">
        <v>80000</v>
      </c>
      <c r="K49" s="579" t="s">
        <v>60</v>
      </c>
      <c r="L49" s="580" t="s">
        <v>6</v>
      </c>
      <c r="M49" s="581">
        <v>100000</v>
      </c>
      <c r="N49" s="579" t="s">
        <v>60</v>
      </c>
      <c r="O49" s="580" t="s">
        <v>6</v>
      </c>
      <c r="P49" s="581">
        <v>80000</v>
      </c>
      <c r="Q49" s="579" t="s">
        <v>60</v>
      </c>
      <c r="R49" s="580" t="s">
        <v>6</v>
      </c>
      <c r="S49" s="581"/>
      <c r="T49" s="579" t="s">
        <v>60</v>
      </c>
      <c r="U49" s="580" t="s">
        <v>6</v>
      </c>
      <c r="V49" s="581"/>
      <c r="W49" s="579" t="s">
        <v>60</v>
      </c>
      <c r="X49" s="580" t="s">
        <v>6</v>
      </c>
      <c r="Y49" s="581"/>
      <c r="Z49" s="579" t="s">
        <v>60</v>
      </c>
      <c r="AA49" s="580" t="s">
        <v>6</v>
      </c>
      <c r="AB49" s="581"/>
    </row>
    <row r="50" spans="1:28">
      <c r="A50" s="571">
        <v>49</v>
      </c>
      <c r="B50" s="569" t="s">
        <v>61</v>
      </c>
      <c r="C50" s="570" t="s">
        <v>6</v>
      </c>
      <c r="D50" s="568"/>
      <c r="E50" s="579" t="s">
        <v>61</v>
      </c>
      <c r="F50" s="580" t="s">
        <v>6</v>
      </c>
      <c r="G50" s="581"/>
      <c r="H50" s="579" t="s">
        <v>61</v>
      </c>
      <c r="I50" s="580" t="s">
        <v>6</v>
      </c>
      <c r="J50" s="581"/>
      <c r="K50" s="579" t="s">
        <v>61</v>
      </c>
      <c r="L50" s="580" t="s">
        <v>6</v>
      </c>
      <c r="M50" s="581"/>
      <c r="N50" s="579" t="s">
        <v>61</v>
      </c>
      <c r="O50" s="580" t="s">
        <v>6</v>
      </c>
      <c r="P50" s="581"/>
      <c r="Q50" s="579" t="s">
        <v>61</v>
      </c>
      <c r="R50" s="580" t="s">
        <v>6</v>
      </c>
      <c r="S50" s="581"/>
      <c r="T50" s="579" t="s">
        <v>61</v>
      </c>
      <c r="U50" s="580" t="s">
        <v>6</v>
      </c>
      <c r="V50" s="581"/>
      <c r="W50" s="579" t="s">
        <v>61</v>
      </c>
      <c r="X50" s="580" t="s">
        <v>6</v>
      </c>
      <c r="Y50" s="581"/>
      <c r="Z50" s="579" t="s">
        <v>61</v>
      </c>
      <c r="AA50" s="580" t="s">
        <v>6</v>
      </c>
      <c r="AB50" s="581"/>
    </row>
    <row r="51" spans="1:28">
      <c r="A51" s="571">
        <v>50</v>
      </c>
      <c r="B51" s="569" t="s">
        <v>62</v>
      </c>
      <c r="C51" s="570" t="s">
        <v>6</v>
      </c>
      <c r="D51" s="568">
        <f>IFERROR(IF(OR(AND(VLOOKUP(B51,데이터입력!$B$42:$L$80,6,FALSE)=0,SUM(데이터입력!$L$42:$L$80)&gt;0),IFERROR(IF(OR($B$1=$G$1,$B$1=$M$1,$D$1&gt;34),ROUND($D$1/10*HLOOKUP($B$1,$E:$AB,A51+1,FALSE)*$C$1*$A$1,0),IF(OR($B$1=$G$1,$B$1=$M$1),ROUND(($D$1/10*HLOOKUP($B$1,$E:$AB,A51+1,FALSE)*$C$1),0),ROUND($D$1/10,1)*HLOOKUP($B$1,$E:$AB,A51+1,FALSE)*$C$1)),0)&lt;VLOOKUP(B51,데이터입력!$B$42:$L$80,6,FALSE)),ROUND(VLOOKUP(B51,데이터입력!$B$42:$L$80,6,FALSE)*데이터입력!$Y$6,0),IFERROR(IF(OR($B$1=$G$1,$B$1=$M$1,$D$1&gt;34),ROUND($D$1/10*HLOOKUP($B$1,$E:$AB,A51+1,FALSE)*$C$1*$A$1,0),IF(OR($B$1=$G$1,$B$1=$M$1),ROUND(($D$1/10*HLOOKUP($B$1,$E:$AB,A51+1,FALSE)*$C$1),0),ROUND($D$1/10,1)*HLOOKUP($B$1,$E:$AB,A51+1,FALSE)*$C$1)),0)),0)</f>
        <v>24000000</v>
      </c>
      <c r="E51" s="579" t="s">
        <v>62</v>
      </c>
      <c r="F51" s="580" t="s">
        <v>6</v>
      </c>
      <c r="G51" s="581">
        <v>400000</v>
      </c>
      <c r="H51" s="579" t="s">
        <v>62</v>
      </c>
      <c r="I51" s="580" t="s">
        <v>6</v>
      </c>
      <c r="J51" s="581">
        <v>200000</v>
      </c>
      <c r="K51" s="579" t="s">
        <v>62</v>
      </c>
      <c r="L51" s="580" t="s">
        <v>6</v>
      </c>
      <c r="M51" s="581">
        <v>300000</v>
      </c>
      <c r="N51" s="579" t="s">
        <v>62</v>
      </c>
      <c r="O51" s="580" t="s">
        <v>6</v>
      </c>
      <c r="P51" s="581">
        <v>100000</v>
      </c>
      <c r="Q51" s="579" t="s">
        <v>62</v>
      </c>
      <c r="R51" s="580" t="s">
        <v>6</v>
      </c>
      <c r="S51" s="581"/>
      <c r="T51" s="579" t="s">
        <v>62</v>
      </c>
      <c r="U51" s="580" t="s">
        <v>6</v>
      </c>
      <c r="V51" s="581"/>
      <c r="W51" s="579" t="s">
        <v>62</v>
      </c>
      <c r="X51" s="580" t="s">
        <v>6</v>
      </c>
      <c r="Y51" s="581"/>
      <c r="Z51" s="579" t="s">
        <v>62</v>
      </c>
      <c r="AA51" s="580" t="s">
        <v>6</v>
      </c>
      <c r="AB51" s="581"/>
    </row>
    <row r="52" spans="1:28">
      <c r="A52" s="571">
        <v>51</v>
      </c>
      <c r="B52" s="569" t="s">
        <v>63</v>
      </c>
      <c r="C52" s="570" t="s">
        <v>6</v>
      </c>
      <c r="D52" s="568">
        <f>IFERROR(IF(OR(AND(VLOOKUP(B52,데이터입력!$B$42:$L$80,6,FALSE)=0,SUM(데이터입력!$L$42:$L$80)&gt;0),IFERROR(IF(OR($B$1=$G$1,$B$1=$M$1,$D$1&gt;34),ROUND($D$1/10*HLOOKUP($B$1,$E:$AB,A52+1,FALSE)*$C$1*$A$1,0),IF(OR($B$1=$G$1,$B$1=$M$1),ROUND(($D$1/10*HLOOKUP($B$1,$E:$AB,A52+1,FALSE)*$C$1),0),ROUND($D$1/10,1)*HLOOKUP($B$1,$E:$AB,A52+1,FALSE)*$C$1)),0)&lt;VLOOKUP(B52,데이터입력!$B$42:$L$80,6,FALSE)),ROUND(VLOOKUP(B52,데이터입력!$B$42:$L$80,6,FALSE)*데이터입력!$Y$6,0),IFERROR(IF(OR($B$1=$G$1,$B$1=$M$1,$D$1&gt;34),ROUND($D$1/10*HLOOKUP($B$1,$E:$AB,A52+1,FALSE)*$C$1*$A$1,0),IF(OR($B$1=$G$1,$B$1=$M$1),ROUND(($D$1/10*HLOOKUP($B$1,$E:$AB,A52+1,FALSE)*$C$1),0),ROUND($D$1/10,1)*HLOOKUP($B$1,$E:$AB,A52+1,FALSE)*$C$1)),0)),0)</f>
        <v>44400000</v>
      </c>
      <c r="E52" s="579" t="s">
        <v>63</v>
      </c>
      <c r="F52" s="580" t="s">
        <v>6</v>
      </c>
      <c r="G52" s="581">
        <f>IFERROR(ROUNDDOWN(($D$6*90%)/$D$1*10/$C$1,-3),0)</f>
        <v>600000</v>
      </c>
      <c r="H52" s="579" t="s">
        <v>63</v>
      </c>
      <c r="I52" s="580" t="s">
        <v>6</v>
      </c>
      <c r="J52" s="581">
        <f>IFERROR(ROUNDDOWN(($D$6*90%)/$D$1*10/$C$1,-3),0)</f>
        <v>600000</v>
      </c>
      <c r="K52" s="579" t="s">
        <v>63</v>
      </c>
      <c r="L52" s="580" t="s">
        <v>6</v>
      </c>
      <c r="M52" s="581">
        <f>IFERROR(ROUNDDOWN(($D$6*90%)/$D$1*10/$C$1,-3),0)</f>
        <v>600000</v>
      </c>
      <c r="N52" s="579" t="s">
        <v>63</v>
      </c>
      <c r="O52" s="580" t="s">
        <v>6</v>
      </c>
      <c r="P52" s="581">
        <f>IFERROR(ROUNDDOWN(($D$6*90%)/$D$1*10/$C$1,-3),0)</f>
        <v>600000</v>
      </c>
      <c r="Q52" s="579" t="s">
        <v>63</v>
      </c>
      <c r="R52" s="580" t="s">
        <v>6</v>
      </c>
      <c r="S52" s="581">
        <f>IFERROR(ROUNDDOWN(($D$6*90%)/$D$1*10/$C$1,-3),0)</f>
        <v>600000</v>
      </c>
      <c r="T52" s="579" t="s">
        <v>63</v>
      </c>
      <c r="U52" s="580" t="s">
        <v>6</v>
      </c>
      <c r="V52" s="581">
        <f>IFERROR(ROUNDDOWN(($D$6*90%)/$D$1*10/$C$1,-3),0)</f>
        <v>600000</v>
      </c>
      <c r="W52" s="579" t="s">
        <v>63</v>
      </c>
      <c r="X52" s="580" t="s">
        <v>6</v>
      </c>
      <c r="Y52" s="581">
        <f>IFERROR(ROUNDDOWN(($D$6*90%)/$D$1*10/$C$1,-3),0)</f>
        <v>600000</v>
      </c>
      <c r="Z52" s="579" t="s">
        <v>63</v>
      </c>
      <c r="AA52" s="580" t="s">
        <v>6</v>
      </c>
      <c r="AB52" s="581">
        <f>IFERROR(ROUNDDOWN(($D$6*90%)/$D$1*10/$C$1,-3),0)</f>
        <v>600000</v>
      </c>
    </row>
    <row r="53" spans="1:28">
      <c r="A53" s="571">
        <v>52</v>
      </c>
      <c r="B53" s="569" t="s">
        <v>64</v>
      </c>
      <c r="C53" s="570" t="s">
        <v>6</v>
      </c>
      <c r="D53" s="568">
        <f>IFERROR(IF(OR(AND(VLOOKUP(B53,데이터입력!$B$42:$L$80,6,FALSE)=0,SUM(데이터입력!$L$42:$L$80)&gt;0),IFERROR(IF(OR($B$1=$G$1,$B$1=$M$1,$D$1&gt;34),ROUND($D$1/10*HLOOKUP($B$1,$E:$AB,A53+1,FALSE)*$C$1*$A$1,0),IF(OR($B$1=$G$1,$B$1=$M$1),ROUND(($D$1/10*HLOOKUP($B$1,$E:$AB,A53+1,FALSE)*$C$1),0),ROUND($D$1/10,1)*HLOOKUP($B$1,$E:$AB,A53+1,FALSE)*$C$1)),0)&lt;VLOOKUP(B53,데이터입력!$B$42:$L$80,6,FALSE)),ROUND(VLOOKUP(B53,데이터입력!$B$42:$L$80,6,FALSE)*데이터입력!$Y$6,0),IFERROR(IF(OR($B$1=$G$1,$B$1=$M$1,$D$1&gt;34),ROUND($D$1/10*HLOOKUP($B$1,$E:$AB,A53+1,FALSE)*$C$1*$A$1,0),IF(OR($B$1=$G$1,$B$1=$M$1),ROUND(($D$1/10*HLOOKUP($B$1,$E:$AB,A53+1,FALSE)*$C$1),0),ROUND($D$1/10,1)*HLOOKUP($B$1,$E:$AB,A53+1,FALSE)*$C$1)),0)),0)</f>
        <v>0</v>
      </c>
      <c r="E53" s="579" t="s">
        <v>64</v>
      </c>
      <c r="F53" s="580" t="s">
        <v>6</v>
      </c>
      <c r="G53" s="581"/>
      <c r="H53" s="579" t="s">
        <v>64</v>
      </c>
      <c r="I53" s="580" t="s">
        <v>6</v>
      </c>
      <c r="J53" s="581"/>
      <c r="K53" s="579" t="s">
        <v>64</v>
      </c>
      <c r="L53" s="580" t="s">
        <v>6</v>
      </c>
      <c r="M53" s="581"/>
      <c r="N53" s="579" t="s">
        <v>64</v>
      </c>
      <c r="O53" s="580" t="s">
        <v>6</v>
      </c>
      <c r="P53" s="581"/>
      <c r="Q53" s="579" t="s">
        <v>64</v>
      </c>
      <c r="R53" s="580" t="s">
        <v>6</v>
      </c>
      <c r="S53" s="581"/>
      <c r="T53" s="579" t="s">
        <v>64</v>
      </c>
      <c r="U53" s="580" t="s">
        <v>6</v>
      </c>
      <c r="V53" s="581"/>
      <c r="W53" s="579" t="s">
        <v>64</v>
      </c>
      <c r="X53" s="580" t="s">
        <v>6</v>
      </c>
      <c r="Y53" s="581"/>
      <c r="Z53" s="579" t="s">
        <v>64</v>
      </c>
      <c r="AA53" s="580" t="s">
        <v>6</v>
      </c>
      <c r="AB53" s="581"/>
    </row>
    <row r="54" spans="1:28">
      <c r="A54" s="571">
        <v>53</v>
      </c>
      <c r="B54" s="569" t="s">
        <v>65</v>
      </c>
      <c r="C54" s="570" t="s">
        <v>6</v>
      </c>
      <c r="D54" s="568">
        <f>IFERROR(IF(OR(AND(VLOOKUP(B54,데이터입력!$B$42:$L$80,6,FALSE)=0,SUM(데이터입력!$L$42:$L$80)&gt;0),IFERROR(IF(OR($B$1=$G$1,$B$1=$M$1,$D$1&gt;34),ROUND($D$1/10*HLOOKUP($B$1,$E:$AB,A54+1,FALSE)*$C$1*$A$1,0),IF(OR($B$1=$G$1,$B$1=$M$1),ROUND(($D$1/10*HLOOKUP($B$1,$E:$AB,A54+1,FALSE)*$C$1),0),ROUND($D$1/10,1)*HLOOKUP($B$1,$E:$AB,A54+1,FALSE)*$C$1)),0)&lt;VLOOKUP(B54,데이터입력!$B$42:$L$80,6,FALSE)),ROUND(VLOOKUP(B54,데이터입력!$B$42:$L$80,6,FALSE)*데이터입력!$Y$6,0),IFERROR(IF(OR($B$1=$G$1,$B$1=$M$1,$D$1&gt;34),ROUND($D$1/10*HLOOKUP($B$1,$E:$AB,A54+1,FALSE)*$C$1*$A$1,0),IF(OR($B$1=$G$1,$B$1=$M$1),ROUND(($D$1/10*HLOOKUP($B$1,$E:$AB,A54+1,FALSE)*$C$1),0),ROUND($D$1/10,1)*HLOOKUP($B$1,$E:$AB,A54+1,FALSE)*$C$1)),0)),0)</f>
        <v>13518000</v>
      </c>
      <c r="E54" s="579" t="s">
        <v>65</v>
      </c>
      <c r="F54" s="580" t="s">
        <v>6</v>
      </c>
      <c r="G54" s="581">
        <v>250000</v>
      </c>
      <c r="H54" s="579" t="s">
        <v>65</v>
      </c>
      <c r="I54" s="580" t="s">
        <v>6</v>
      </c>
      <c r="J54" s="581">
        <v>100000</v>
      </c>
      <c r="K54" s="579" t="s">
        <v>65</v>
      </c>
      <c r="L54" s="580" t="s">
        <v>6</v>
      </c>
      <c r="M54" s="581">
        <v>300000</v>
      </c>
      <c r="N54" s="579" t="s">
        <v>65</v>
      </c>
      <c r="O54" s="580" t="s">
        <v>6</v>
      </c>
      <c r="P54" s="581">
        <v>50000</v>
      </c>
      <c r="Q54" s="579" t="s">
        <v>65</v>
      </c>
      <c r="R54" s="580" t="s">
        <v>6</v>
      </c>
      <c r="S54" s="581"/>
      <c r="T54" s="579" t="s">
        <v>65</v>
      </c>
      <c r="U54" s="580" t="s">
        <v>6</v>
      </c>
      <c r="V54" s="581"/>
      <c r="W54" s="579" t="s">
        <v>65</v>
      </c>
      <c r="X54" s="580" t="s">
        <v>6</v>
      </c>
      <c r="Y54" s="581"/>
      <c r="Z54" s="579" t="s">
        <v>65</v>
      </c>
      <c r="AA54" s="580" t="s">
        <v>6</v>
      </c>
      <c r="AB54" s="581"/>
    </row>
    <row r="55" spans="1:28">
      <c r="A55" s="571">
        <v>54</v>
      </c>
      <c r="B55" s="569" t="s">
        <v>444</v>
      </c>
      <c r="C55" s="570" t="s">
        <v>6</v>
      </c>
      <c r="D55" s="568">
        <f>IFERROR(IF(OR(AND(VLOOKUP(B55,데이터입력!$B$42:$L$80,6,FALSE)=0,SUM(데이터입력!$L$42:$L$80)&gt;0),IFERROR(IF(OR($B$1=$G$1,$B$1=$M$1,$D$1&gt;34),ROUND($D$1/10*HLOOKUP($B$1,$E:$AB,A55+1,FALSE)*$C$1*$A$1,0),IF(OR($B$1=$G$1,$B$1=$M$1),ROUND(($D$1/10*HLOOKUP($B$1,$E:$AB,A55+1,FALSE)*$C$1),0),ROUND($D$1/10,1)*HLOOKUP($B$1,$E:$AB,A55+1,FALSE)*$C$1)),0)&lt;VLOOKUP(B55,데이터입력!$B$42:$L$80,6,FALSE)),ROUND(VLOOKUP(B55,데이터입력!$B$42:$L$80,6,FALSE)*데이터입력!$Y$6,0),IFERROR(IF(OR($B$1=$G$1,$B$1=$M$1,$D$1&gt;34),ROUND($D$1/10*HLOOKUP($B$1,$E:$AB,A55+1,FALSE)*$C$1*$A$1,0),IF(OR($B$1=$G$1,$B$1=$M$1),ROUND(($D$1/10*HLOOKUP($B$1,$E:$AB,A55+1,FALSE)*$C$1),0),ROUND($D$1/10,1)*HLOOKUP($B$1,$E:$AB,A55+1,FALSE)*$C$1)),0)),0)</f>
        <v>0</v>
      </c>
      <c r="E55" s="579" t="s">
        <v>444</v>
      </c>
      <c r="F55" s="580" t="s">
        <v>6</v>
      </c>
      <c r="G55" s="581"/>
      <c r="H55" s="579" t="s">
        <v>444</v>
      </c>
      <c r="I55" s="580" t="s">
        <v>6</v>
      </c>
      <c r="J55" s="581"/>
      <c r="K55" s="579" t="s">
        <v>444</v>
      </c>
      <c r="L55" s="580" t="s">
        <v>6</v>
      </c>
      <c r="M55" s="581"/>
      <c r="N55" s="579" t="s">
        <v>444</v>
      </c>
      <c r="O55" s="580" t="s">
        <v>6</v>
      </c>
      <c r="P55" s="581"/>
      <c r="Q55" s="579" t="s">
        <v>444</v>
      </c>
      <c r="R55" s="580" t="s">
        <v>6</v>
      </c>
      <c r="S55" s="581"/>
      <c r="T55" s="579" t="s">
        <v>444</v>
      </c>
      <c r="U55" s="580" t="s">
        <v>6</v>
      </c>
      <c r="V55" s="581"/>
      <c r="W55" s="579" t="s">
        <v>444</v>
      </c>
      <c r="X55" s="580" t="s">
        <v>6</v>
      </c>
      <c r="Y55" s="581"/>
      <c r="Z55" s="579" t="s">
        <v>444</v>
      </c>
      <c r="AA55" s="580" t="s">
        <v>6</v>
      </c>
      <c r="AB55" s="581"/>
    </row>
    <row r="56" spans="1:28">
      <c r="A56" s="571">
        <v>55</v>
      </c>
      <c r="B56" s="569" t="s">
        <v>443</v>
      </c>
      <c r="C56" s="570" t="s">
        <v>6</v>
      </c>
      <c r="D56" s="568">
        <f>IFERROR(IF(OR(AND(VLOOKUP(B56,데이터입력!$B$42:$L$80,6,FALSE)=0,SUM(데이터입력!$L$42:$L$80)&gt;0),IFERROR(IF(OR($B$1=$G$1,$B$1=$M$1,$D$1&gt;34),ROUND($D$1/10*HLOOKUP($B$1,$E:$AB,A56+1,FALSE)*$C$1*$A$1,0),IF(OR($B$1=$G$1,$B$1=$M$1),ROUND(($D$1/10*HLOOKUP($B$1,$E:$AB,A56+1,FALSE)*$C$1),0),ROUND($D$1/10,1)*HLOOKUP($B$1,$E:$AB,A56+1,FALSE)*$C$1)),0)&lt;VLOOKUP(B56,데이터입력!$B$42:$L$80,6,FALSE)),ROUND(VLOOKUP(B56,데이터입력!$B$42:$L$80,6,FALSE)*데이터입력!$Y$6,0),IFERROR(IF(OR($B$1=$G$1,$B$1=$M$1,$D$1&gt;34),ROUND($D$1/10*HLOOKUP($B$1,$E:$AB,A56+1,FALSE)*$C$1*$A$1,0),IF(OR($B$1=$G$1,$B$1=$M$1),ROUND(($D$1/10*HLOOKUP($B$1,$E:$AB,A56+1,FALSE)*$C$1),0),ROUND($D$1/10,1)*HLOOKUP($B$1,$E:$AB,A56+1,FALSE)*$C$1)),0)),0)</f>
        <v>0</v>
      </c>
      <c r="E56" s="579" t="s">
        <v>443</v>
      </c>
      <c r="F56" s="580" t="s">
        <v>6</v>
      </c>
      <c r="G56" s="581"/>
      <c r="H56" s="579" t="s">
        <v>443</v>
      </c>
      <c r="I56" s="580" t="s">
        <v>6</v>
      </c>
      <c r="J56" s="581"/>
      <c r="K56" s="579" t="s">
        <v>443</v>
      </c>
      <c r="L56" s="580" t="s">
        <v>6</v>
      </c>
      <c r="M56" s="581"/>
      <c r="N56" s="579" t="s">
        <v>443</v>
      </c>
      <c r="O56" s="580" t="s">
        <v>6</v>
      </c>
      <c r="P56" s="581"/>
      <c r="Q56" s="579" t="s">
        <v>443</v>
      </c>
      <c r="R56" s="580" t="s">
        <v>6</v>
      </c>
      <c r="S56" s="581"/>
      <c r="T56" s="579" t="s">
        <v>443</v>
      </c>
      <c r="U56" s="580" t="s">
        <v>6</v>
      </c>
      <c r="V56" s="581"/>
      <c r="W56" s="579" t="s">
        <v>443</v>
      </c>
      <c r="X56" s="580" t="s">
        <v>6</v>
      </c>
      <c r="Y56" s="581"/>
      <c r="Z56" s="579" t="s">
        <v>443</v>
      </c>
      <c r="AA56" s="580" t="s">
        <v>6</v>
      </c>
      <c r="AB56" s="581"/>
    </row>
    <row r="57" spans="1:28">
      <c r="A57" s="571">
        <v>56</v>
      </c>
      <c r="B57" s="569" t="s">
        <v>66</v>
      </c>
      <c r="C57" s="570" t="s">
        <v>6</v>
      </c>
      <c r="D57" s="568"/>
      <c r="E57" s="579" t="s">
        <v>66</v>
      </c>
      <c r="F57" s="580" t="s">
        <v>6</v>
      </c>
      <c r="G57" s="581"/>
      <c r="H57" s="579" t="s">
        <v>66</v>
      </c>
      <c r="I57" s="580" t="s">
        <v>6</v>
      </c>
      <c r="J57" s="581"/>
      <c r="K57" s="579" t="s">
        <v>66</v>
      </c>
      <c r="L57" s="580" t="s">
        <v>6</v>
      </c>
      <c r="M57" s="581"/>
      <c r="N57" s="579" t="s">
        <v>66</v>
      </c>
      <c r="O57" s="580" t="s">
        <v>6</v>
      </c>
      <c r="P57" s="581"/>
      <c r="Q57" s="579" t="s">
        <v>66</v>
      </c>
      <c r="R57" s="580" t="s">
        <v>6</v>
      </c>
      <c r="S57" s="581"/>
      <c r="T57" s="579" t="s">
        <v>66</v>
      </c>
      <c r="U57" s="580" t="s">
        <v>6</v>
      </c>
      <c r="V57" s="581"/>
      <c r="W57" s="579" t="s">
        <v>66</v>
      </c>
      <c r="X57" s="580" t="s">
        <v>6</v>
      </c>
      <c r="Y57" s="581"/>
      <c r="Z57" s="579" t="s">
        <v>66</v>
      </c>
      <c r="AA57" s="580" t="s">
        <v>6</v>
      </c>
      <c r="AB57" s="581"/>
    </row>
    <row r="58" spans="1:28">
      <c r="A58" s="571">
        <v>57</v>
      </c>
      <c r="B58" s="569" t="s">
        <v>67</v>
      </c>
      <c r="C58" s="570" t="s">
        <v>6</v>
      </c>
      <c r="D58" s="568"/>
      <c r="E58" s="579" t="s">
        <v>67</v>
      </c>
      <c r="F58" s="580" t="s">
        <v>6</v>
      </c>
      <c r="G58" s="581"/>
      <c r="H58" s="579" t="s">
        <v>67</v>
      </c>
      <c r="I58" s="580" t="s">
        <v>6</v>
      </c>
      <c r="J58" s="581"/>
      <c r="K58" s="579" t="s">
        <v>67</v>
      </c>
      <c r="L58" s="580" t="s">
        <v>6</v>
      </c>
      <c r="M58" s="581"/>
      <c r="N58" s="579" t="s">
        <v>67</v>
      </c>
      <c r="O58" s="580" t="s">
        <v>6</v>
      </c>
      <c r="P58" s="581"/>
      <c r="Q58" s="579" t="s">
        <v>67</v>
      </c>
      <c r="R58" s="580" t="s">
        <v>6</v>
      </c>
      <c r="S58" s="581"/>
      <c r="T58" s="579" t="s">
        <v>67</v>
      </c>
      <c r="U58" s="580" t="s">
        <v>6</v>
      </c>
      <c r="V58" s="581"/>
      <c r="W58" s="579" t="s">
        <v>67</v>
      </c>
      <c r="X58" s="580" t="s">
        <v>6</v>
      </c>
      <c r="Y58" s="581"/>
      <c r="Z58" s="579" t="s">
        <v>67</v>
      </c>
      <c r="AA58" s="580" t="s">
        <v>6</v>
      </c>
      <c r="AB58" s="581"/>
    </row>
    <row r="59" spans="1:28">
      <c r="A59" s="571">
        <v>58</v>
      </c>
      <c r="B59" s="569" t="s">
        <v>68</v>
      </c>
      <c r="C59" s="570" t="s">
        <v>6</v>
      </c>
      <c r="D59" s="568"/>
      <c r="E59" s="579" t="s">
        <v>68</v>
      </c>
      <c r="F59" s="580" t="s">
        <v>6</v>
      </c>
      <c r="G59" s="581"/>
      <c r="H59" s="579" t="s">
        <v>68</v>
      </c>
      <c r="I59" s="580" t="s">
        <v>6</v>
      </c>
      <c r="J59" s="581"/>
      <c r="K59" s="579" t="s">
        <v>68</v>
      </c>
      <c r="L59" s="580" t="s">
        <v>6</v>
      </c>
      <c r="M59" s="581"/>
      <c r="N59" s="579" t="s">
        <v>68</v>
      </c>
      <c r="O59" s="580" t="s">
        <v>6</v>
      </c>
      <c r="P59" s="581"/>
      <c r="Q59" s="579" t="s">
        <v>68</v>
      </c>
      <c r="R59" s="580" t="s">
        <v>6</v>
      </c>
      <c r="S59" s="581"/>
      <c r="T59" s="579" t="s">
        <v>68</v>
      </c>
      <c r="U59" s="580" t="s">
        <v>6</v>
      </c>
      <c r="V59" s="581"/>
      <c r="W59" s="579" t="s">
        <v>68</v>
      </c>
      <c r="X59" s="580" t="s">
        <v>6</v>
      </c>
      <c r="Y59" s="581"/>
      <c r="Z59" s="579" t="s">
        <v>68</v>
      </c>
      <c r="AA59" s="580" t="s">
        <v>6</v>
      </c>
      <c r="AB59" s="581"/>
    </row>
    <row r="60" spans="1:28">
      <c r="A60" s="571">
        <v>59</v>
      </c>
      <c r="B60" s="569" t="s">
        <v>69</v>
      </c>
      <c r="C60" s="570" t="s">
        <v>6</v>
      </c>
      <c r="D60" s="568"/>
      <c r="E60" s="579" t="s">
        <v>69</v>
      </c>
      <c r="F60" s="580" t="s">
        <v>6</v>
      </c>
      <c r="G60" s="581"/>
      <c r="H60" s="579" t="s">
        <v>69</v>
      </c>
      <c r="I60" s="580" t="s">
        <v>6</v>
      </c>
      <c r="J60" s="581"/>
      <c r="K60" s="579" t="s">
        <v>69</v>
      </c>
      <c r="L60" s="580" t="s">
        <v>6</v>
      </c>
      <c r="M60" s="581"/>
      <c r="N60" s="579" t="s">
        <v>69</v>
      </c>
      <c r="O60" s="580" t="s">
        <v>6</v>
      </c>
      <c r="P60" s="581"/>
      <c r="Q60" s="579" t="s">
        <v>69</v>
      </c>
      <c r="R60" s="580" t="s">
        <v>6</v>
      </c>
      <c r="S60" s="581"/>
      <c r="T60" s="579" t="s">
        <v>69</v>
      </c>
      <c r="U60" s="580" t="s">
        <v>6</v>
      </c>
      <c r="V60" s="581"/>
      <c r="W60" s="579" t="s">
        <v>69</v>
      </c>
      <c r="X60" s="580" t="s">
        <v>6</v>
      </c>
      <c r="Y60" s="581"/>
      <c r="Z60" s="579" t="s">
        <v>69</v>
      </c>
      <c r="AA60" s="580" t="s">
        <v>6</v>
      </c>
      <c r="AB60" s="581"/>
    </row>
    <row r="61" spans="1:28">
      <c r="A61" s="571">
        <v>60</v>
      </c>
      <c r="B61" s="569" t="s">
        <v>70</v>
      </c>
      <c r="C61" s="570" t="s">
        <v>6</v>
      </c>
      <c r="D61" s="568"/>
      <c r="E61" s="579" t="s">
        <v>70</v>
      </c>
      <c r="F61" s="580" t="s">
        <v>6</v>
      </c>
      <c r="G61" s="581"/>
      <c r="H61" s="579" t="s">
        <v>70</v>
      </c>
      <c r="I61" s="580" t="s">
        <v>6</v>
      </c>
      <c r="J61" s="581"/>
      <c r="K61" s="579" t="s">
        <v>70</v>
      </c>
      <c r="L61" s="580" t="s">
        <v>6</v>
      </c>
      <c r="M61" s="581"/>
      <c r="N61" s="579" t="s">
        <v>70</v>
      </c>
      <c r="O61" s="580" t="s">
        <v>6</v>
      </c>
      <c r="P61" s="581"/>
      <c r="Q61" s="579" t="s">
        <v>70</v>
      </c>
      <c r="R61" s="580" t="s">
        <v>6</v>
      </c>
      <c r="S61" s="581"/>
      <c r="T61" s="579" t="s">
        <v>70</v>
      </c>
      <c r="U61" s="580" t="s">
        <v>6</v>
      </c>
      <c r="V61" s="581"/>
      <c r="W61" s="579" t="s">
        <v>70</v>
      </c>
      <c r="X61" s="580" t="s">
        <v>6</v>
      </c>
      <c r="Y61" s="581"/>
      <c r="Z61" s="579" t="s">
        <v>70</v>
      </c>
      <c r="AA61" s="580" t="s">
        <v>6</v>
      </c>
      <c r="AB61" s="581"/>
    </row>
    <row r="62" spans="1:28">
      <c r="A62" s="571">
        <v>61</v>
      </c>
      <c r="B62" s="569" t="s">
        <v>71</v>
      </c>
      <c r="C62" s="570" t="s">
        <v>6</v>
      </c>
      <c r="D62" s="568"/>
      <c r="E62" s="579" t="s">
        <v>71</v>
      </c>
      <c r="F62" s="580" t="s">
        <v>6</v>
      </c>
      <c r="G62" s="581"/>
      <c r="H62" s="579" t="s">
        <v>71</v>
      </c>
      <c r="I62" s="580" t="s">
        <v>6</v>
      </c>
      <c r="J62" s="581"/>
      <c r="K62" s="579" t="s">
        <v>71</v>
      </c>
      <c r="L62" s="580" t="s">
        <v>6</v>
      </c>
      <c r="M62" s="581"/>
      <c r="N62" s="579" t="s">
        <v>71</v>
      </c>
      <c r="O62" s="580" t="s">
        <v>6</v>
      </c>
      <c r="P62" s="581"/>
      <c r="Q62" s="579" t="s">
        <v>71</v>
      </c>
      <c r="R62" s="580" t="s">
        <v>6</v>
      </c>
      <c r="S62" s="581"/>
      <c r="T62" s="579" t="s">
        <v>71</v>
      </c>
      <c r="U62" s="580" t="s">
        <v>6</v>
      </c>
      <c r="V62" s="581"/>
      <c r="W62" s="579" t="s">
        <v>71</v>
      </c>
      <c r="X62" s="580" t="s">
        <v>6</v>
      </c>
      <c r="Y62" s="581"/>
      <c r="Z62" s="579" t="s">
        <v>71</v>
      </c>
      <c r="AA62" s="580" t="s">
        <v>6</v>
      </c>
      <c r="AB62" s="581"/>
    </row>
    <row r="63" spans="1:28">
      <c r="A63" s="571">
        <v>62</v>
      </c>
      <c r="B63" s="569" t="s">
        <v>72</v>
      </c>
      <c r="C63" s="570" t="s">
        <v>6</v>
      </c>
      <c r="D63" s="568"/>
      <c r="E63" s="579" t="s">
        <v>72</v>
      </c>
      <c r="F63" s="580" t="s">
        <v>6</v>
      </c>
      <c r="G63" s="581"/>
      <c r="H63" s="579" t="s">
        <v>72</v>
      </c>
      <c r="I63" s="580" t="s">
        <v>6</v>
      </c>
      <c r="J63" s="581"/>
      <c r="K63" s="579" t="s">
        <v>72</v>
      </c>
      <c r="L63" s="580" t="s">
        <v>6</v>
      </c>
      <c r="M63" s="581"/>
      <c r="N63" s="579" t="s">
        <v>72</v>
      </c>
      <c r="O63" s="580" t="s">
        <v>6</v>
      </c>
      <c r="P63" s="581"/>
      <c r="Q63" s="579" t="s">
        <v>72</v>
      </c>
      <c r="R63" s="580" t="s">
        <v>6</v>
      </c>
      <c r="S63" s="581"/>
      <c r="T63" s="579" t="s">
        <v>72</v>
      </c>
      <c r="U63" s="580" t="s">
        <v>6</v>
      </c>
      <c r="V63" s="581"/>
      <c r="W63" s="579" t="s">
        <v>72</v>
      </c>
      <c r="X63" s="580" t="s">
        <v>6</v>
      </c>
      <c r="Y63" s="581"/>
      <c r="Z63" s="579" t="s">
        <v>72</v>
      </c>
      <c r="AA63" s="580" t="s">
        <v>6</v>
      </c>
      <c r="AB63" s="581"/>
    </row>
    <row r="64" spans="1:28">
      <c r="A64" s="571">
        <v>63</v>
      </c>
      <c r="B64" s="569" t="s">
        <v>73</v>
      </c>
      <c r="C64" s="570" t="s">
        <v>6</v>
      </c>
      <c r="D64" s="568"/>
      <c r="E64" s="579" t="s">
        <v>73</v>
      </c>
      <c r="F64" s="580" t="s">
        <v>6</v>
      </c>
      <c r="G64" s="581"/>
      <c r="H64" s="579" t="s">
        <v>73</v>
      </c>
      <c r="I64" s="580" t="s">
        <v>6</v>
      </c>
      <c r="J64" s="581"/>
      <c r="K64" s="579" t="s">
        <v>73</v>
      </c>
      <c r="L64" s="580" t="s">
        <v>6</v>
      </c>
      <c r="M64" s="581"/>
      <c r="N64" s="579" t="s">
        <v>73</v>
      </c>
      <c r="O64" s="580" t="s">
        <v>6</v>
      </c>
      <c r="P64" s="581"/>
      <c r="Q64" s="579" t="s">
        <v>73</v>
      </c>
      <c r="R64" s="580" t="s">
        <v>6</v>
      </c>
      <c r="S64" s="581"/>
      <c r="T64" s="579" t="s">
        <v>73</v>
      </c>
      <c r="U64" s="580" t="s">
        <v>6</v>
      </c>
      <c r="V64" s="581"/>
      <c r="W64" s="579" t="s">
        <v>73</v>
      </c>
      <c r="X64" s="580" t="s">
        <v>6</v>
      </c>
      <c r="Y64" s="581"/>
      <c r="Z64" s="579" t="s">
        <v>73</v>
      </c>
      <c r="AA64" s="580" t="s">
        <v>6</v>
      </c>
      <c r="AB64" s="581"/>
    </row>
    <row r="65" spans="1:28">
      <c r="A65" s="571">
        <v>64</v>
      </c>
      <c r="B65" s="569" t="s">
        <v>3</v>
      </c>
      <c r="C65" s="570" t="s">
        <v>6</v>
      </c>
      <c r="D65" s="568">
        <f>IFERROR(IF(OR(AND(VLOOKUP(B65,데이터입력!$B$42:$L$80,6,FALSE)=0,SUM(데이터입력!$L$42:$L$80)&gt;0),IFERROR(IF(OR($B$1=$G$1,$B$1=$M$1,$D$1&gt;34),ROUND($D$1/10*HLOOKUP($B$1,$E:$AB,A65+1,FALSE)*$C$1*$A$1,0),IF(OR($B$1=$G$1,$B$1=$M$1),ROUND(($D$1/10*HLOOKUP($B$1,$E:$AB,A65+1,FALSE)*$C$1),0),ROUND($D$1/10,1)*HLOOKUP($B$1,$E:$AB,A65+1,FALSE)*$C$1)),0)&lt;VLOOKUP(B65,데이터입력!$B$42:$L$80,6,FALSE)),VLOOKUP(B65,데이터입력!$B$42:$L$80,6,FALSE),IFERROR(IF(OR($B$1=$G$1,$B$1=$M$1,$D$1&gt;34),ROUND($D$1/10*HLOOKUP($B$1,$E:$AB,A65+1,FALSE)*$C$1*$A$1,0),IF(OR($B$1=$G$1,$B$1=$M$1),ROUND(($D$1/10*HLOOKUP($B$1,$E:$AB,A65+1,FALSE)*$C$1),0),ROUND($D$1/10,1)*HLOOKUP($B$1,$E:$AB,A65+1,FALSE)*$C$1)),0)),0)</f>
        <v>0</v>
      </c>
      <c r="E65" s="579" t="s">
        <v>3</v>
      </c>
      <c r="F65" s="580" t="s">
        <v>6</v>
      </c>
      <c r="G65" s="581"/>
      <c r="H65" s="579" t="s">
        <v>3</v>
      </c>
      <c r="I65" s="580" t="s">
        <v>6</v>
      </c>
      <c r="J65" s="581"/>
      <c r="K65" s="579" t="s">
        <v>3</v>
      </c>
      <c r="L65" s="580" t="s">
        <v>6</v>
      </c>
      <c r="M65" s="581"/>
      <c r="N65" s="579" t="s">
        <v>3</v>
      </c>
      <c r="O65" s="580" t="s">
        <v>6</v>
      </c>
      <c r="P65" s="581"/>
      <c r="Q65" s="579" t="s">
        <v>3</v>
      </c>
      <c r="R65" s="580" t="s">
        <v>6</v>
      </c>
      <c r="S65" s="581"/>
      <c r="T65" s="579" t="s">
        <v>3</v>
      </c>
      <c r="U65" s="580" t="s">
        <v>6</v>
      </c>
      <c r="V65" s="581"/>
      <c r="W65" s="579" t="s">
        <v>3</v>
      </c>
      <c r="X65" s="580" t="s">
        <v>6</v>
      </c>
      <c r="Y65" s="581"/>
      <c r="Z65" s="579" t="s">
        <v>3</v>
      </c>
      <c r="AA65" s="580" t="s">
        <v>6</v>
      </c>
      <c r="AB65" s="581"/>
    </row>
    <row r="66" spans="1:28">
      <c r="A66" s="571">
        <v>65</v>
      </c>
      <c r="B66" s="569" t="s">
        <v>74</v>
      </c>
      <c r="C66" s="570" t="s">
        <v>6</v>
      </c>
      <c r="D66" s="568">
        <f>IFERROR(IF(OR(AND(VLOOKUP(B66,데이터입력!$B$42:$L$80,6,FALSE)=0,SUM(데이터입력!$L$42:$L$80)&gt;0),IFERROR(IF(OR($B$1=$G$1,$B$1=$M$1,$D$1&gt;34),ROUND($D$1/10*HLOOKUP($B$1,$E:$AB,A66+1,FALSE)*$C$1*$A$1,0),IF(OR($B$1=$G$1,$B$1=$M$1),ROUND(($D$1/10*HLOOKUP($B$1,$E:$AB,A66+1,FALSE)*$C$1),0),ROUND($D$1/10,1)*HLOOKUP($B$1,$E:$AB,A66+1,FALSE)*$C$1)),0)&lt;VLOOKUP(B66,데이터입력!$B$42:$L$80,6,FALSE)),VLOOKUP(B66,데이터입력!$B$42:$L$80,6,FALSE),IFERROR(IF(OR($B$1=$G$1,$B$1=$M$1,$D$1&gt;34),ROUND($D$1/10*HLOOKUP($B$1,$E:$AB,A66+1,FALSE)*$C$1*$A$1,0),IF(OR($B$1=$G$1,$B$1=$M$1),ROUND(($D$1/10*HLOOKUP($B$1,$E:$AB,A66+1,FALSE)*$C$1),0),ROUND($D$1/10,1)*HLOOKUP($B$1,$E:$AB,A66+1,FALSE)*$C$1)),0)),0)</f>
        <v>0</v>
      </c>
      <c r="E66" s="579" t="s">
        <v>74</v>
      </c>
      <c r="F66" s="580" t="s">
        <v>6</v>
      </c>
      <c r="G66" s="581"/>
      <c r="H66" s="579" t="s">
        <v>74</v>
      </c>
      <c r="I66" s="580" t="s">
        <v>6</v>
      </c>
      <c r="J66" s="581"/>
      <c r="K66" s="579" t="s">
        <v>74</v>
      </c>
      <c r="L66" s="580" t="s">
        <v>6</v>
      </c>
      <c r="M66" s="581"/>
      <c r="N66" s="579" t="s">
        <v>74</v>
      </c>
      <c r="O66" s="580" t="s">
        <v>6</v>
      </c>
      <c r="P66" s="581"/>
      <c r="Q66" s="579" t="s">
        <v>74</v>
      </c>
      <c r="R66" s="580" t="s">
        <v>6</v>
      </c>
      <c r="S66" s="581"/>
      <c r="T66" s="579" t="s">
        <v>74</v>
      </c>
      <c r="U66" s="580" t="s">
        <v>6</v>
      </c>
      <c r="V66" s="581"/>
      <c r="W66" s="579" t="s">
        <v>74</v>
      </c>
      <c r="X66" s="580" t="s">
        <v>6</v>
      </c>
      <c r="Y66" s="581"/>
      <c r="Z66" s="579" t="s">
        <v>74</v>
      </c>
      <c r="AA66" s="580" t="s">
        <v>6</v>
      </c>
      <c r="AB66" s="581"/>
    </row>
  </sheetData>
  <mergeCells count="5">
    <mergeCell ref="AC1:AE1"/>
    <mergeCell ref="AC10:AF10"/>
    <mergeCell ref="AC20:AF20"/>
    <mergeCell ref="AG20:AH20"/>
    <mergeCell ref="AI20:AJ20"/>
  </mergeCells>
  <phoneticPr fontId="1" type="noConversion"/>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89057-9096-4FE7-87B2-6A98BF617990}">
  <sheetPr>
    <tabColor theme="7"/>
  </sheetPr>
  <dimension ref="A1:AX264"/>
  <sheetViews>
    <sheetView zoomScaleNormal="100" zoomScaleSheetLayoutView="100" workbookViewId="0">
      <selection sqref="A1:XFD1048576"/>
    </sheetView>
  </sheetViews>
  <sheetFormatPr defaultRowHeight="16.5"/>
  <cols>
    <col min="1" max="1" width="15.875" style="451" customWidth="1"/>
    <col min="2" max="6" width="13.125" style="451" customWidth="1"/>
    <col min="7" max="9" width="12.75" style="451" customWidth="1"/>
    <col min="10" max="10" width="16.25" style="1215" customWidth="1"/>
    <col min="11" max="11" width="7.5" customWidth="1"/>
    <col min="12" max="12" width="14.625" customWidth="1"/>
    <col min="13" max="13" width="14.875" customWidth="1"/>
    <col min="14" max="14" width="24.25" customWidth="1"/>
    <col min="15" max="15" width="23.75" customWidth="1"/>
    <col min="16" max="16" width="16.125" customWidth="1"/>
    <col min="17" max="17" width="18.75" customWidth="1"/>
    <col min="18" max="18" width="16.75" customWidth="1"/>
    <col min="19" max="19" width="3" style="8" customWidth="1"/>
    <col min="20" max="20" width="7.5" customWidth="1"/>
    <col min="21" max="21" width="14.625" customWidth="1"/>
    <col min="22" max="22" width="14.875" customWidth="1"/>
    <col min="23" max="23" width="24.25" customWidth="1"/>
    <col min="24" max="24" width="23.75" customWidth="1"/>
    <col min="25" max="25" width="16.125" customWidth="1"/>
    <col min="26" max="26" width="18.75" customWidth="1"/>
    <col min="27" max="27" width="16.75" customWidth="1"/>
    <col min="28" max="28" width="3.625" style="8" customWidth="1"/>
    <col min="29" max="29" width="7.5" customWidth="1"/>
    <col min="30" max="30" width="14.625" customWidth="1"/>
    <col min="31" max="31" width="14.875" customWidth="1"/>
    <col min="32" max="32" width="24.25" customWidth="1"/>
    <col min="33" max="33" width="23.75" customWidth="1"/>
    <col min="34" max="34" width="16.125" customWidth="1"/>
    <col min="35" max="35" width="18.75" customWidth="1"/>
    <col min="36" max="36" width="16.75" customWidth="1"/>
    <col min="38" max="38" width="9" style="97"/>
    <col min="39" max="39" width="12.125" style="97" customWidth="1"/>
    <col min="40" max="40" width="11.625" style="97" customWidth="1"/>
    <col min="41" max="41" width="10.5" style="97" customWidth="1"/>
    <col min="42" max="42" width="12.625" style="97" customWidth="1"/>
    <col min="43" max="43" width="9.625" style="97" customWidth="1"/>
    <col min="44" max="45" width="10.75" style="97" customWidth="1"/>
    <col min="46" max="46" width="12.625" style="97" customWidth="1"/>
    <col min="47" max="48" width="12.625" style="97" hidden="1" customWidth="1"/>
    <col min="49" max="50" width="9" style="97"/>
  </cols>
  <sheetData>
    <row r="1" spans="1:50" ht="17.25" customHeight="1" thickBot="1">
      <c r="A1" s="629" t="s">
        <v>647</v>
      </c>
      <c r="B1" s="630">
        <v>2026</v>
      </c>
      <c r="C1" s="631"/>
      <c r="D1" s="632" t="s">
        <v>648</v>
      </c>
      <c r="E1" s="633" t="s">
        <v>846</v>
      </c>
      <c r="F1" s="634"/>
      <c r="G1" s="632" t="s">
        <v>649</v>
      </c>
      <c r="H1" s="633" t="s">
        <v>847</v>
      </c>
      <c r="I1" s="635"/>
      <c r="J1" s="1211"/>
      <c r="K1" s="1247"/>
      <c r="L1" s="1248"/>
      <c r="M1" s="1248"/>
      <c r="N1" s="1249"/>
      <c r="O1" s="166"/>
      <c r="P1" s="166"/>
      <c r="Q1" s="166"/>
      <c r="R1" s="166"/>
      <c r="S1" s="163"/>
      <c r="T1" s="1247"/>
      <c r="U1" s="1248"/>
      <c r="V1" s="1248"/>
      <c r="W1" s="1249"/>
      <c r="X1" s="1239"/>
      <c r="Y1" s="1239"/>
      <c r="Z1" s="1239"/>
      <c r="AA1" s="1239"/>
      <c r="AB1" s="1240"/>
      <c r="AC1" s="1247"/>
      <c r="AD1" s="1248"/>
      <c r="AE1" s="1248"/>
      <c r="AF1" s="1249"/>
      <c r="AG1" s="8"/>
      <c r="AH1" s="8"/>
      <c r="AI1" s="8"/>
      <c r="AJ1" s="8"/>
      <c r="AL1" s="1074"/>
      <c r="AM1" s="1075"/>
      <c r="AN1" s="938"/>
      <c r="AO1" s="939"/>
      <c r="AP1" s="939"/>
      <c r="AQ1" s="939"/>
      <c r="AR1" s="939"/>
      <c r="AS1" s="939"/>
      <c r="AT1" s="939"/>
      <c r="AU1" s="939"/>
      <c r="AV1" s="939"/>
      <c r="AW1" s="161"/>
      <c r="AX1" s="161"/>
    </row>
    <row r="2" spans="1:50" ht="17.25" customHeight="1" thickBot="1">
      <c r="A2" s="636" t="s">
        <v>650</v>
      </c>
      <c r="B2" s="640"/>
      <c r="C2" s="743"/>
      <c r="D2" s="637" t="s">
        <v>651</v>
      </c>
      <c r="E2" s="638" t="s">
        <v>102</v>
      </c>
      <c r="F2" s="639" t="s">
        <v>135</v>
      </c>
      <c r="G2" s="637" t="s">
        <v>652</v>
      </c>
      <c r="H2" s="640" t="s">
        <v>135</v>
      </c>
      <c r="I2" s="771" t="b">
        <v>0</v>
      </c>
      <c r="J2" s="1212"/>
      <c r="K2" s="1257"/>
      <c r="L2" s="1251"/>
      <c r="M2" s="1251"/>
      <c r="N2" s="1256"/>
      <c r="O2" s="166"/>
      <c r="P2" s="166"/>
      <c r="Q2" s="166"/>
      <c r="R2" s="166"/>
      <c r="S2" s="163"/>
      <c r="T2" s="1257"/>
      <c r="U2" s="1251"/>
      <c r="V2" s="1251"/>
      <c r="W2" s="1256"/>
      <c r="X2" s="1239"/>
      <c r="Y2" s="1239"/>
      <c r="Z2" s="1239"/>
      <c r="AA2" s="1239"/>
      <c r="AB2" s="1240"/>
      <c r="AC2" s="1257"/>
      <c r="AD2" s="1251"/>
      <c r="AE2" s="1251"/>
      <c r="AF2" s="1256"/>
      <c r="AG2" s="8"/>
      <c r="AH2" s="8"/>
      <c r="AI2" s="8"/>
      <c r="AJ2" s="8"/>
      <c r="AL2" s="940"/>
      <c r="AM2" s="1056"/>
      <c r="AN2" s="1057"/>
      <c r="AO2" s="1058"/>
      <c r="AP2" s="940"/>
      <c r="AQ2" s="1076"/>
      <c r="AR2" s="1076"/>
      <c r="AS2" s="1076"/>
      <c r="AT2" s="1077"/>
      <c r="AU2" s="939"/>
      <c r="AV2" s="939"/>
      <c r="AW2" s="161"/>
      <c r="AX2" s="161"/>
    </row>
    <row r="3" spans="1:50" ht="17.25" customHeight="1" thickTop="1" thickBot="1">
      <c r="A3" s="773" t="s">
        <v>683</v>
      </c>
      <c r="B3" s="774">
        <v>12</v>
      </c>
      <c r="C3" s="775"/>
      <c r="D3" s="776" t="s">
        <v>653</v>
      </c>
      <c r="E3" s="774" t="s">
        <v>135</v>
      </c>
      <c r="F3" s="775"/>
      <c r="G3" s="641"/>
      <c r="H3" s="1191" t="s">
        <v>848</v>
      </c>
      <c r="I3" s="1192">
        <v>12</v>
      </c>
      <c r="J3" s="1213"/>
      <c r="K3" s="1250"/>
      <c r="L3" s="1251"/>
      <c r="M3" s="1251"/>
      <c r="N3" s="1252"/>
      <c r="O3" s="166"/>
      <c r="P3" s="166"/>
      <c r="Q3" s="166"/>
      <c r="R3" s="166"/>
      <c r="S3" s="163"/>
      <c r="T3" s="1250"/>
      <c r="U3" s="1251"/>
      <c r="V3" s="1251"/>
      <c r="W3" s="1252"/>
      <c r="X3" s="1239"/>
      <c r="Y3" s="1239"/>
      <c r="Z3" s="1239"/>
      <c r="AA3" s="1239"/>
      <c r="AB3" s="1240"/>
      <c r="AC3" s="1250"/>
      <c r="AD3" s="1251"/>
      <c r="AE3" s="1251"/>
      <c r="AF3" s="1252"/>
      <c r="AG3" s="8"/>
      <c r="AH3" s="8"/>
      <c r="AI3" s="8"/>
      <c r="AJ3" s="8"/>
      <c r="AL3" s="941"/>
      <c r="AM3" s="1059"/>
      <c r="AN3" s="1059"/>
      <c r="AO3" s="1060"/>
      <c r="AP3" s="942"/>
      <c r="AQ3" s="943"/>
      <c r="AR3" s="943"/>
      <c r="AS3" s="943"/>
      <c r="AT3" s="944"/>
      <c r="AU3" s="939"/>
      <c r="AV3" s="939"/>
      <c r="AW3" s="161"/>
      <c r="AX3" s="161"/>
    </row>
    <row r="4" spans="1:50" ht="17.25" customHeight="1" thickBot="1">
      <c r="A4" s="642" t="s">
        <v>849</v>
      </c>
      <c r="B4" s="643"/>
      <c r="C4" s="644">
        <v>45</v>
      </c>
      <c r="D4" s="645" t="s">
        <v>850</v>
      </c>
      <c r="E4" s="646"/>
      <c r="F4" s="647">
        <v>12</v>
      </c>
      <c r="G4" s="648"/>
      <c r="H4" s="1193" t="s">
        <v>851</v>
      </c>
      <c r="I4" s="1194">
        <v>12</v>
      </c>
      <c r="J4" s="1213"/>
      <c r="K4" s="1253"/>
      <c r="L4" s="1254"/>
      <c r="M4" s="1254"/>
      <c r="N4" s="1255"/>
      <c r="O4" s="167"/>
      <c r="P4" s="167"/>
      <c r="Q4" s="167"/>
      <c r="R4" s="167"/>
      <c r="S4" s="163"/>
      <c r="T4" s="1253"/>
      <c r="U4" s="1254"/>
      <c r="V4" s="1254"/>
      <c r="W4" s="1255"/>
      <c r="X4" s="1241"/>
      <c r="Y4" s="1241"/>
      <c r="Z4" s="1241"/>
      <c r="AA4" s="1241"/>
      <c r="AB4" s="1240"/>
      <c r="AC4" s="1253"/>
      <c r="AD4" s="1254"/>
      <c r="AE4" s="1254"/>
      <c r="AF4" s="1255"/>
      <c r="AG4" s="8"/>
      <c r="AH4" s="8"/>
      <c r="AI4" s="8"/>
      <c r="AJ4" s="8"/>
      <c r="AL4" s="945"/>
      <c r="AM4" s="1061"/>
      <c r="AN4" s="1061"/>
      <c r="AO4" s="1062"/>
      <c r="AP4" s="946"/>
      <c r="AQ4" s="947"/>
      <c r="AR4" s="948"/>
      <c r="AS4" s="948"/>
      <c r="AT4" s="949"/>
      <c r="AU4" s="939"/>
      <c r="AV4" s="939"/>
      <c r="AW4" s="161"/>
      <c r="AX4" s="161"/>
    </row>
    <row r="5" spans="1:50" ht="34.5" customHeight="1" thickBot="1">
      <c r="A5" s="650" t="s">
        <v>654</v>
      </c>
      <c r="B5" s="651"/>
      <c r="C5" s="652"/>
      <c r="D5" s="653"/>
      <c r="E5" s="654"/>
      <c r="F5" s="654"/>
      <c r="G5" s="655"/>
      <c r="H5" s="655"/>
      <c r="I5" s="656"/>
      <c r="J5" s="1277" t="s">
        <v>818</v>
      </c>
      <c r="K5" s="1064"/>
      <c r="L5" s="1064"/>
      <c r="M5" s="1064"/>
      <c r="N5" s="1064"/>
      <c r="O5" s="1064"/>
      <c r="P5" s="1064"/>
      <c r="Q5" s="1064"/>
      <c r="R5" s="1064"/>
      <c r="S5" s="164"/>
      <c r="T5" s="1065"/>
      <c r="U5" s="1066"/>
      <c r="V5" s="1066"/>
      <c r="W5" s="1066"/>
      <c r="X5" s="1066"/>
      <c r="Y5" s="1066"/>
      <c r="Z5" s="1066"/>
      <c r="AA5" s="1066"/>
      <c r="AB5" s="164"/>
      <c r="AC5" s="1067"/>
      <c r="AD5" s="1068"/>
      <c r="AE5" s="1068"/>
      <c r="AF5" s="1068"/>
      <c r="AG5" s="1068"/>
      <c r="AH5" s="1068"/>
      <c r="AI5" s="1068"/>
      <c r="AJ5" s="1068"/>
      <c r="AL5" s="1078"/>
      <c r="AM5" s="1079"/>
      <c r="AN5" s="950"/>
      <c r="AO5" s="951"/>
      <c r="AP5" s="940"/>
      <c r="AQ5" s="1076"/>
      <c r="AR5" s="1076"/>
      <c r="AS5" s="1076"/>
      <c r="AT5" s="1077"/>
      <c r="AU5" s="939"/>
      <c r="AV5" s="939"/>
      <c r="AW5" s="161"/>
      <c r="AX5" s="161"/>
    </row>
    <row r="6" spans="1:50" ht="21.75" thickBot="1">
      <c r="A6" s="626" t="s">
        <v>102</v>
      </c>
      <c r="B6" s="657">
        <v>0.625</v>
      </c>
      <c r="C6" s="658">
        <v>2.1</v>
      </c>
      <c r="D6" s="659" t="s">
        <v>644</v>
      </c>
      <c r="E6" s="660" t="s">
        <v>722</v>
      </c>
      <c r="F6" s="661" t="s">
        <v>645</v>
      </c>
      <c r="G6" s="662" t="s">
        <v>296</v>
      </c>
      <c r="H6" s="663" t="s">
        <v>646</v>
      </c>
      <c r="I6" s="664" t="s">
        <v>722</v>
      </c>
      <c r="J6" s="1279" t="s">
        <v>819</v>
      </c>
      <c r="K6" s="1069" t="s">
        <v>0</v>
      </c>
      <c r="L6" s="1071" t="s">
        <v>479</v>
      </c>
      <c r="M6" s="1072"/>
      <c r="N6" s="1072"/>
      <c r="O6" s="1073"/>
      <c r="P6" s="1071" t="s">
        <v>480</v>
      </c>
      <c r="Q6" s="1072"/>
      <c r="R6" s="1073"/>
      <c r="S6" s="165"/>
      <c r="T6" s="1069" t="s">
        <v>0</v>
      </c>
      <c r="U6" s="1071" t="s">
        <v>479</v>
      </c>
      <c r="V6" s="1072"/>
      <c r="W6" s="1072"/>
      <c r="X6" s="1073"/>
      <c r="Y6" s="1071" t="s">
        <v>480</v>
      </c>
      <c r="Z6" s="1072"/>
      <c r="AA6" s="1073"/>
      <c r="AB6" s="165"/>
      <c r="AC6" s="1069" t="s">
        <v>0</v>
      </c>
      <c r="AD6" s="1071" t="s">
        <v>479</v>
      </c>
      <c r="AE6" s="1072"/>
      <c r="AF6" s="1072"/>
      <c r="AG6" s="1073"/>
      <c r="AH6" s="1071" t="s">
        <v>480</v>
      </c>
      <c r="AI6" s="1072"/>
      <c r="AJ6" s="1073"/>
      <c r="AL6" s="1080"/>
      <c r="AM6" s="1081"/>
      <c r="AN6" s="952"/>
      <c r="AO6" s="953"/>
      <c r="AP6" s="942"/>
      <c r="AQ6" s="943"/>
      <c r="AR6" s="943"/>
      <c r="AS6" s="943"/>
      <c r="AT6" s="944"/>
      <c r="AU6" s="939"/>
      <c r="AV6" s="939"/>
      <c r="AW6" s="161"/>
      <c r="AX6" s="161"/>
    </row>
    <row r="7" spans="1:50" ht="17.25" thickBot="1">
      <c r="A7" s="627" t="s">
        <v>106</v>
      </c>
      <c r="B7" s="657">
        <v>0.65100000000000002</v>
      </c>
      <c r="C7" s="665">
        <v>3</v>
      </c>
      <c r="D7" s="666" t="s">
        <v>453</v>
      </c>
      <c r="E7" s="667"/>
      <c r="F7" s="668" t="s">
        <v>655</v>
      </c>
      <c r="G7" s="669"/>
      <c r="H7" s="670"/>
      <c r="I7" s="671" t="s">
        <v>247</v>
      </c>
      <c r="J7" s="1278"/>
      <c r="K7" s="1070"/>
      <c r="L7" s="591" t="s">
        <v>376</v>
      </c>
      <c r="M7" s="591" t="s">
        <v>377</v>
      </c>
      <c r="N7" s="591" t="s">
        <v>378</v>
      </c>
      <c r="O7" s="591" t="s">
        <v>1</v>
      </c>
      <c r="P7" s="591" t="s">
        <v>481</v>
      </c>
      <c r="Q7" s="591" t="s">
        <v>482</v>
      </c>
      <c r="R7" s="591" t="s">
        <v>483</v>
      </c>
      <c r="S7" s="165"/>
      <c r="T7" s="1070"/>
      <c r="U7" s="591" t="s">
        <v>376</v>
      </c>
      <c r="V7" s="591" t="s">
        <v>377</v>
      </c>
      <c r="W7" s="591" t="s">
        <v>378</v>
      </c>
      <c r="X7" s="591" t="s">
        <v>1</v>
      </c>
      <c r="Y7" s="591" t="s">
        <v>481</v>
      </c>
      <c r="Z7" s="591" t="s">
        <v>482</v>
      </c>
      <c r="AA7" s="591" t="s">
        <v>483</v>
      </c>
      <c r="AB7" s="165"/>
      <c r="AC7" s="1070"/>
      <c r="AD7" s="591" t="s">
        <v>376</v>
      </c>
      <c r="AE7" s="591" t="s">
        <v>377</v>
      </c>
      <c r="AF7" s="591" t="s">
        <v>378</v>
      </c>
      <c r="AG7" s="591" t="s">
        <v>1</v>
      </c>
      <c r="AH7" s="591" t="s">
        <v>481</v>
      </c>
      <c r="AI7" s="591" t="s">
        <v>482</v>
      </c>
      <c r="AJ7" s="591" t="s">
        <v>483</v>
      </c>
      <c r="AL7" s="1084"/>
      <c r="AM7" s="1085"/>
      <c r="AN7" s="954"/>
      <c r="AO7" s="955"/>
      <c r="AP7" s="956"/>
      <c r="AQ7" s="957"/>
      <c r="AR7" s="957"/>
      <c r="AS7" s="957"/>
      <c r="AT7" s="958"/>
      <c r="AU7" s="939"/>
      <c r="AV7" s="939"/>
      <c r="AW7" s="161"/>
      <c r="AX7" s="161"/>
    </row>
    <row r="8" spans="1:50" ht="18" customHeight="1" thickBot="1">
      <c r="A8" s="627" t="s">
        <v>108</v>
      </c>
      <c r="B8" s="657">
        <v>0.48499999999999999</v>
      </c>
      <c r="C8" s="665">
        <v>7</v>
      </c>
      <c r="D8" s="1259">
        <v>4</v>
      </c>
      <c r="E8" s="1281">
        <v>30.4</v>
      </c>
      <c r="F8" s="1281">
        <v>21</v>
      </c>
      <c r="G8" s="1260">
        <v>0</v>
      </c>
      <c r="H8" s="1261">
        <v>0</v>
      </c>
      <c r="I8" s="1216">
        <v>1</v>
      </c>
      <c r="J8" s="1227"/>
      <c r="K8" s="197"/>
      <c r="L8" s="5"/>
      <c r="M8" s="5"/>
      <c r="N8" s="5"/>
      <c r="O8" s="5" t="s">
        <v>5</v>
      </c>
      <c r="P8" s="6">
        <v>196824000</v>
      </c>
      <c r="Q8" s="6">
        <v>196824000</v>
      </c>
      <c r="R8" s="6"/>
      <c r="S8" s="165"/>
      <c r="T8" s="197"/>
      <c r="U8" s="5"/>
      <c r="V8" s="5"/>
      <c r="W8" s="5"/>
      <c r="X8" s="5" t="s">
        <v>135</v>
      </c>
      <c r="Y8" s="6" t="s">
        <v>135</v>
      </c>
      <c r="Z8" s="6"/>
      <c r="AA8" s="6"/>
      <c r="AB8" s="165"/>
      <c r="AC8" s="197"/>
      <c r="AD8" s="5"/>
      <c r="AE8" s="5"/>
      <c r="AF8" s="5"/>
      <c r="AG8" s="5" t="s">
        <v>135</v>
      </c>
      <c r="AH8" s="6" t="s">
        <v>135</v>
      </c>
      <c r="AI8" s="6"/>
      <c r="AJ8" s="6"/>
      <c r="AL8" s="1086" t="s">
        <v>852</v>
      </c>
      <c r="AM8" s="1087"/>
      <c r="AN8" s="1087"/>
      <c r="AO8" s="1087"/>
      <c r="AP8" s="1087"/>
      <c r="AQ8" s="1087"/>
      <c r="AR8" s="1087"/>
      <c r="AS8" s="1087"/>
      <c r="AT8" s="1087"/>
      <c r="AU8" s="939"/>
      <c r="AV8" s="939"/>
      <c r="AW8" s="161"/>
      <c r="AX8" s="161"/>
    </row>
    <row r="9" spans="1:50" ht="17.25" customHeight="1" thickBot="1">
      <c r="A9" s="627" t="s">
        <v>112</v>
      </c>
      <c r="B9" s="657">
        <v>0.58799999999999997</v>
      </c>
      <c r="C9" s="665">
        <v>4</v>
      </c>
      <c r="D9" s="1262">
        <v>8</v>
      </c>
      <c r="E9" s="1263">
        <v>0</v>
      </c>
      <c r="F9" s="1263">
        <v>0</v>
      </c>
      <c r="G9" s="1263">
        <v>0</v>
      </c>
      <c r="H9" s="1264">
        <v>12</v>
      </c>
      <c r="I9" s="1326"/>
      <c r="J9" s="1228"/>
      <c r="K9" s="40"/>
      <c r="L9" s="9"/>
      <c r="M9" s="9"/>
      <c r="N9" s="9"/>
      <c r="O9" s="43" t="s">
        <v>7</v>
      </c>
      <c r="P9" s="198">
        <v>119180160</v>
      </c>
      <c r="Q9" s="198">
        <v>119180160</v>
      </c>
      <c r="R9" s="198"/>
      <c r="S9" s="165"/>
      <c r="T9" s="40"/>
      <c r="U9" s="9"/>
      <c r="V9" s="9"/>
      <c r="W9" s="9"/>
      <c r="X9" s="43" t="s">
        <v>135</v>
      </c>
      <c r="Y9" s="198" t="s">
        <v>135</v>
      </c>
      <c r="Z9" s="198"/>
      <c r="AA9" s="198"/>
      <c r="AB9" s="165"/>
      <c r="AC9" s="40"/>
      <c r="AD9" s="9"/>
      <c r="AE9" s="9"/>
      <c r="AF9" s="9"/>
      <c r="AG9" s="43" t="s">
        <v>135</v>
      </c>
      <c r="AH9" s="198" t="s">
        <v>135</v>
      </c>
      <c r="AI9" s="198"/>
      <c r="AJ9" s="198"/>
      <c r="AL9" s="1088"/>
      <c r="AM9" s="1089"/>
      <c r="AN9" s="1089"/>
      <c r="AO9" s="1089"/>
      <c r="AP9" s="1089"/>
      <c r="AQ9" s="1089"/>
      <c r="AR9" s="1089"/>
      <c r="AS9" s="1089"/>
      <c r="AT9" s="1089"/>
      <c r="AU9" s="939"/>
      <c r="AV9" s="939"/>
      <c r="AW9" s="161"/>
      <c r="AX9" s="161"/>
    </row>
    <row r="10" spans="1:50" ht="24.75" thickBot="1">
      <c r="A10" s="627" t="s">
        <v>223</v>
      </c>
      <c r="B10" s="657">
        <v>0.86599999999999999</v>
      </c>
      <c r="C10" s="665">
        <v>1.5</v>
      </c>
      <c r="D10" s="1280">
        <v>30.4</v>
      </c>
      <c r="E10" s="1263">
        <v>0</v>
      </c>
      <c r="F10" s="1263">
        <v>0</v>
      </c>
      <c r="G10" s="1282">
        <v>21</v>
      </c>
      <c r="H10" s="1264">
        <v>1</v>
      </c>
      <c r="I10" s="673"/>
      <c r="J10" s="1228"/>
      <c r="K10" s="41"/>
      <c r="L10" s="11"/>
      <c r="M10" s="11"/>
      <c r="N10" s="11"/>
      <c r="O10" s="11" t="s">
        <v>10</v>
      </c>
      <c r="P10" s="12">
        <v>36000000</v>
      </c>
      <c r="Q10" s="12">
        <v>36000000</v>
      </c>
      <c r="R10" s="12"/>
      <c r="S10" s="165"/>
      <c r="T10" s="41"/>
      <c r="U10" s="11"/>
      <c r="V10" s="11"/>
      <c r="W10" s="44"/>
      <c r="X10" s="11" t="s">
        <v>135</v>
      </c>
      <c r="Y10" s="199" t="s">
        <v>135</v>
      </c>
      <c r="Z10" s="199"/>
      <c r="AA10" s="199"/>
      <c r="AB10" s="165"/>
      <c r="AC10" s="41"/>
      <c r="AD10" s="11"/>
      <c r="AE10" s="11"/>
      <c r="AF10" s="44"/>
      <c r="AG10" s="11" t="s">
        <v>135</v>
      </c>
      <c r="AH10" s="199" t="s">
        <v>135</v>
      </c>
      <c r="AI10" s="199"/>
      <c r="AJ10" s="199"/>
      <c r="AL10" s="959" t="s">
        <v>454</v>
      </c>
      <c r="AM10" s="960" t="s">
        <v>853</v>
      </c>
      <c r="AN10" s="960" t="s">
        <v>250</v>
      </c>
      <c r="AO10" s="961" t="s">
        <v>431</v>
      </c>
      <c r="AP10" s="962" t="s">
        <v>854</v>
      </c>
      <c r="AQ10" s="963" t="s">
        <v>432</v>
      </c>
      <c r="AR10" s="960" t="s">
        <v>457</v>
      </c>
      <c r="AS10" s="961" t="s">
        <v>458</v>
      </c>
      <c r="AT10" s="962" t="s">
        <v>855</v>
      </c>
      <c r="AU10" s="962" t="s">
        <v>856</v>
      </c>
      <c r="AV10" s="962" t="s">
        <v>857</v>
      </c>
      <c r="AW10" s="964" t="s">
        <v>858</v>
      </c>
      <c r="AX10" s="965" t="s">
        <v>859</v>
      </c>
    </row>
    <row r="11" spans="1:50" ht="22.5">
      <c r="A11" s="627" t="s">
        <v>225</v>
      </c>
      <c r="B11" s="657">
        <v>0.496</v>
      </c>
      <c r="C11" s="665">
        <v>2</v>
      </c>
      <c r="D11" s="1262">
        <v>0</v>
      </c>
      <c r="E11" s="1263">
        <v>0</v>
      </c>
      <c r="F11" s="1263">
        <v>0</v>
      </c>
      <c r="G11" s="1263">
        <v>0</v>
      </c>
      <c r="H11" s="1264">
        <v>0</v>
      </c>
      <c r="I11" s="673"/>
      <c r="J11" s="1228"/>
      <c r="K11" s="40"/>
      <c r="L11" s="9"/>
      <c r="M11" s="9"/>
      <c r="N11" s="9"/>
      <c r="O11" s="43" t="s">
        <v>21</v>
      </c>
      <c r="P11" s="198">
        <v>1134036000</v>
      </c>
      <c r="Q11" s="198">
        <v>1134036000</v>
      </c>
      <c r="R11" s="198"/>
      <c r="S11" s="165"/>
      <c r="T11" s="40"/>
      <c r="U11" s="9"/>
      <c r="V11" s="43"/>
      <c r="W11" s="9"/>
      <c r="X11" s="9" t="s">
        <v>135</v>
      </c>
      <c r="Y11" s="198" t="s">
        <v>135</v>
      </c>
      <c r="Z11" s="198"/>
      <c r="AA11" s="198"/>
      <c r="AB11" s="165"/>
      <c r="AC11" s="40"/>
      <c r="AD11" s="9"/>
      <c r="AE11" s="43"/>
      <c r="AF11" s="9"/>
      <c r="AG11" s="9" t="s">
        <v>135</v>
      </c>
      <c r="AH11" s="198" t="s">
        <v>135</v>
      </c>
      <c r="AI11" s="198"/>
      <c r="AJ11" s="198"/>
      <c r="AL11" s="967" t="s">
        <v>860</v>
      </c>
      <c r="AM11" s="968" t="s">
        <v>861</v>
      </c>
      <c r="AN11" s="969">
        <v>6200000</v>
      </c>
      <c r="AO11" s="970">
        <v>0</v>
      </c>
      <c r="AP11" s="971">
        <v>6200000</v>
      </c>
      <c r="AQ11" s="972">
        <v>0</v>
      </c>
      <c r="AR11" s="973">
        <v>0</v>
      </c>
      <c r="AS11" s="974">
        <v>648770</v>
      </c>
      <c r="AT11" s="975">
        <v>6848770</v>
      </c>
      <c r="AU11" s="976">
        <v>6200000</v>
      </c>
      <c r="AV11" s="977">
        <v>6200000</v>
      </c>
      <c r="AW11" s="978">
        <v>0</v>
      </c>
      <c r="AX11" s="979">
        <v>0</v>
      </c>
    </row>
    <row r="12" spans="1:50" ht="18" thickBot="1">
      <c r="A12" s="628" t="s">
        <v>227</v>
      </c>
      <c r="B12" s="674">
        <v>0.60099999999999998</v>
      </c>
      <c r="C12" s="675">
        <v>1.5</v>
      </c>
      <c r="D12" s="1265">
        <v>0</v>
      </c>
      <c r="E12" s="1266">
        <v>0</v>
      </c>
      <c r="F12" s="1283">
        <v>15</v>
      </c>
      <c r="G12" s="1266">
        <v>0</v>
      </c>
      <c r="H12" s="1285">
        <v>3</v>
      </c>
      <c r="I12" s="649"/>
      <c r="J12" s="1228"/>
      <c r="K12" s="41"/>
      <c r="L12" s="11"/>
      <c r="M12" s="11"/>
      <c r="N12" s="11"/>
      <c r="O12" s="11" t="s">
        <v>23</v>
      </c>
      <c r="P12" s="12">
        <v>72000000</v>
      </c>
      <c r="Q12" s="12">
        <v>72000000</v>
      </c>
      <c r="R12" s="12"/>
      <c r="S12" s="165"/>
      <c r="T12" s="41"/>
      <c r="U12" s="11"/>
      <c r="V12" s="11"/>
      <c r="W12" s="11"/>
      <c r="X12" s="11" t="s">
        <v>135</v>
      </c>
      <c r="Y12" s="12" t="s">
        <v>135</v>
      </c>
      <c r="Z12" s="12"/>
      <c r="AA12" s="12"/>
      <c r="AB12" s="165"/>
      <c r="AC12" s="41"/>
      <c r="AD12" s="11"/>
      <c r="AE12" s="11"/>
      <c r="AF12" s="11"/>
      <c r="AG12" s="11" t="s">
        <v>135</v>
      </c>
      <c r="AH12" s="12" t="s">
        <v>135</v>
      </c>
      <c r="AI12" s="12"/>
      <c r="AJ12" s="12"/>
      <c r="AL12" s="981" t="s">
        <v>862</v>
      </c>
      <c r="AM12" s="982" t="s">
        <v>783</v>
      </c>
      <c r="AN12" s="983">
        <v>700000</v>
      </c>
      <c r="AO12" s="984">
        <v>0</v>
      </c>
      <c r="AP12" s="971">
        <v>700000</v>
      </c>
      <c r="AQ12" s="985">
        <v>0</v>
      </c>
      <c r="AR12" s="973">
        <v>0</v>
      </c>
      <c r="AS12" s="974">
        <v>73250</v>
      </c>
      <c r="AT12" s="975">
        <v>773250</v>
      </c>
      <c r="AU12" s="976">
        <v>700000</v>
      </c>
      <c r="AV12" s="977">
        <v>700000</v>
      </c>
      <c r="AW12" s="986">
        <v>0</v>
      </c>
      <c r="AX12" s="987">
        <v>0</v>
      </c>
    </row>
    <row r="13" spans="1:50" ht="18" thickBot="1">
      <c r="A13" s="787" t="s">
        <v>723</v>
      </c>
      <c r="B13" s="788">
        <v>3300</v>
      </c>
      <c r="C13" s="676" t="s">
        <v>656</v>
      </c>
      <c r="D13" s="677"/>
      <c r="E13" s="677"/>
      <c r="F13" s="677"/>
      <c r="G13" s="677"/>
      <c r="H13" s="677"/>
      <c r="I13" s="677"/>
      <c r="J13" s="1228"/>
      <c r="K13" s="40"/>
      <c r="L13" s="9"/>
      <c r="M13" s="9"/>
      <c r="N13" s="9"/>
      <c r="O13" s="43" t="s">
        <v>29</v>
      </c>
      <c r="P13" s="198">
        <v>12000000</v>
      </c>
      <c r="Q13" s="198">
        <v>12000000</v>
      </c>
      <c r="R13" s="198"/>
      <c r="S13" s="165"/>
      <c r="T13" s="40"/>
      <c r="U13" s="9"/>
      <c r="V13" s="9"/>
      <c r="W13" s="9"/>
      <c r="X13" s="43" t="s">
        <v>135</v>
      </c>
      <c r="Y13" s="198" t="s">
        <v>135</v>
      </c>
      <c r="Z13" s="198"/>
      <c r="AA13" s="198"/>
      <c r="AB13" s="165"/>
      <c r="AC13" s="40"/>
      <c r="AD13" s="9"/>
      <c r="AE13" s="9"/>
      <c r="AF13" s="9"/>
      <c r="AG13" s="43" t="s">
        <v>135</v>
      </c>
      <c r="AH13" s="198" t="s">
        <v>135</v>
      </c>
      <c r="AI13" s="198"/>
      <c r="AJ13" s="198"/>
      <c r="AL13" s="981" t="s">
        <v>135</v>
      </c>
      <c r="AM13" s="982" t="s">
        <v>135</v>
      </c>
      <c r="AN13" s="983">
        <v>0</v>
      </c>
      <c r="AO13" s="984">
        <v>0</v>
      </c>
      <c r="AP13" s="971">
        <v>0</v>
      </c>
      <c r="AQ13" s="985">
        <v>0</v>
      </c>
      <c r="AR13" s="973">
        <v>0</v>
      </c>
      <c r="AS13" s="974">
        <v>0</v>
      </c>
      <c r="AT13" s="975" t="s">
        <v>135</v>
      </c>
      <c r="AU13" s="976">
        <v>0</v>
      </c>
      <c r="AV13" s="977">
        <v>0</v>
      </c>
      <c r="AW13" s="986">
        <v>0</v>
      </c>
      <c r="AX13" s="987">
        <v>0</v>
      </c>
    </row>
    <row r="14" spans="1:50" ht="18" thickBot="1">
      <c r="A14" s="797"/>
      <c r="B14" s="798"/>
      <c r="C14" s="679" t="s">
        <v>13</v>
      </c>
      <c r="D14" s="680"/>
      <c r="E14" s="681" t="s">
        <v>15</v>
      </c>
      <c r="F14" s="680"/>
      <c r="G14" s="681" t="s">
        <v>38</v>
      </c>
      <c r="H14" s="682"/>
      <c r="I14" s="1217" t="s">
        <v>657</v>
      </c>
      <c r="J14" s="1228"/>
      <c r="K14" s="41"/>
      <c r="L14" s="11"/>
      <c r="M14" s="11"/>
      <c r="N14" s="11"/>
      <c r="O14" s="11" t="s">
        <v>31</v>
      </c>
      <c r="P14" s="12">
        <v>75336977</v>
      </c>
      <c r="Q14" s="12">
        <v>75336977</v>
      </c>
      <c r="R14" s="12"/>
      <c r="S14" s="165"/>
      <c r="T14" s="41"/>
      <c r="U14" s="11"/>
      <c r="V14" s="11"/>
      <c r="W14" s="44"/>
      <c r="X14" s="11" t="s">
        <v>135</v>
      </c>
      <c r="Y14" s="199" t="s">
        <v>135</v>
      </c>
      <c r="Z14" s="199"/>
      <c r="AA14" s="199"/>
      <c r="AB14" s="165"/>
      <c r="AC14" s="41"/>
      <c r="AD14" s="11"/>
      <c r="AE14" s="11"/>
      <c r="AF14" s="44"/>
      <c r="AG14" s="11" t="s">
        <v>135</v>
      </c>
      <c r="AH14" s="199" t="s">
        <v>135</v>
      </c>
      <c r="AI14" s="199"/>
      <c r="AJ14" s="199"/>
      <c r="AL14" s="981" t="s">
        <v>135</v>
      </c>
      <c r="AM14" s="982" t="s">
        <v>135</v>
      </c>
      <c r="AN14" s="983">
        <v>0</v>
      </c>
      <c r="AO14" s="984">
        <v>0</v>
      </c>
      <c r="AP14" s="971">
        <v>0</v>
      </c>
      <c r="AQ14" s="985">
        <v>0</v>
      </c>
      <c r="AR14" s="973">
        <v>0</v>
      </c>
      <c r="AS14" s="974">
        <v>0</v>
      </c>
      <c r="AT14" s="975" t="s">
        <v>135</v>
      </c>
      <c r="AU14" s="976">
        <v>0</v>
      </c>
      <c r="AV14" s="977">
        <v>0</v>
      </c>
      <c r="AW14" s="986">
        <v>0</v>
      </c>
      <c r="AX14" s="987">
        <v>0</v>
      </c>
    </row>
    <row r="15" spans="1:50" ht="18" thickBot="1">
      <c r="A15" s="799"/>
      <c r="B15" s="799"/>
      <c r="C15" s="684" t="s">
        <v>13</v>
      </c>
      <c r="D15" s="685"/>
      <c r="E15" s="686" t="s">
        <v>15</v>
      </c>
      <c r="F15" s="685"/>
      <c r="G15" s="687" t="s">
        <v>38</v>
      </c>
      <c r="H15" s="685"/>
      <c r="I15" s="1218"/>
      <c r="J15" s="1228"/>
      <c r="K15" s="40"/>
      <c r="L15" s="9"/>
      <c r="M15" s="9"/>
      <c r="N15" s="9"/>
      <c r="O15" s="43" t="s">
        <v>33</v>
      </c>
      <c r="P15" s="198">
        <v>46555502</v>
      </c>
      <c r="Q15" s="198">
        <v>46555502</v>
      </c>
      <c r="R15" s="198"/>
      <c r="S15" s="165"/>
      <c r="T15" s="40"/>
      <c r="U15" s="9"/>
      <c r="V15" s="43"/>
      <c r="W15" s="9"/>
      <c r="X15" s="9" t="s">
        <v>135</v>
      </c>
      <c r="Y15" s="198" t="s">
        <v>135</v>
      </c>
      <c r="Z15" s="198"/>
      <c r="AA15" s="198"/>
      <c r="AB15" s="165"/>
      <c r="AC15" s="40"/>
      <c r="AD15" s="9"/>
      <c r="AE15" s="43"/>
      <c r="AF15" s="9"/>
      <c r="AG15" s="9" t="s">
        <v>135</v>
      </c>
      <c r="AH15" s="198" t="s">
        <v>135</v>
      </c>
      <c r="AI15" s="198"/>
      <c r="AJ15" s="198"/>
      <c r="AL15" s="981" t="s">
        <v>135</v>
      </c>
      <c r="AM15" s="982" t="s">
        <v>135</v>
      </c>
      <c r="AN15" s="983">
        <v>0</v>
      </c>
      <c r="AO15" s="984">
        <v>0</v>
      </c>
      <c r="AP15" s="971">
        <v>0</v>
      </c>
      <c r="AQ15" s="985">
        <v>0</v>
      </c>
      <c r="AR15" s="973">
        <v>0</v>
      </c>
      <c r="AS15" s="974">
        <v>0</v>
      </c>
      <c r="AT15" s="975" t="s">
        <v>135</v>
      </c>
      <c r="AU15" s="976">
        <v>0</v>
      </c>
      <c r="AV15" s="977">
        <v>0</v>
      </c>
      <c r="AW15" s="986">
        <v>0</v>
      </c>
      <c r="AX15" s="987">
        <v>0</v>
      </c>
    </row>
    <row r="16" spans="1:50" ht="17.25">
      <c r="A16" s="797"/>
      <c r="B16" s="798"/>
      <c r="C16" s="689" t="s">
        <v>708</v>
      </c>
      <c r="D16" s="690">
        <v>0</v>
      </c>
      <c r="E16" s="689" t="s">
        <v>708</v>
      </c>
      <c r="F16" s="690">
        <v>0</v>
      </c>
      <c r="G16" s="687" t="s">
        <v>724</v>
      </c>
      <c r="H16" s="690">
        <v>400000</v>
      </c>
      <c r="I16" s="1219">
        <v>12</v>
      </c>
      <c r="J16" s="1228"/>
      <c r="K16" s="41"/>
      <c r="L16" s="11"/>
      <c r="M16" s="11"/>
      <c r="N16" s="44"/>
      <c r="O16" s="11" t="s">
        <v>36</v>
      </c>
      <c r="P16" s="199">
        <v>60000</v>
      </c>
      <c r="Q16" s="199">
        <v>60000</v>
      </c>
      <c r="R16" s="199"/>
      <c r="S16" s="165"/>
      <c r="T16" s="41"/>
      <c r="U16" s="44"/>
      <c r="V16" s="11"/>
      <c r="W16" s="11"/>
      <c r="X16" s="11" t="s">
        <v>135</v>
      </c>
      <c r="Y16" s="199" t="s">
        <v>135</v>
      </c>
      <c r="Z16" s="199"/>
      <c r="AA16" s="199"/>
      <c r="AB16" s="165"/>
      <c r="AC16" s="41"/>
      <c r="AD16" s="11"/>
      <c r="AE16" s="11"/>
      <c r="AF16" s="11"/>
      <c r="AG16" s="11" t="s">
        <v>135</v>
      </c>
      <c r="AH16" s="12" t="s">
        <v>135</v>
      </c>
      <c r="AI16" s="12"/>
      <c r="AJ16" s="12"/>
      <c r="AL16" s="981" t="s">
        <v>135</v>
      </c>
      <c r="AM16" s="982" t="s">
        <v>135</v>
      </c>
      <c r="AN16" s="983">
        <v>0</v>
      </c>
      <c r="AO16" s="984">
        <v>0</v>
      </c>
      <c r="AP16" s="971">
        <v>0</v>
      </c>
      <c r="AQ16" s="972">
        <v>0</v>
      </c>
      <c r="AR16" s="973">
        <v>0</v>
      </c>
      <c r="AS16" s="974">
        <v>0</v>
      </c>
      <c r="AT16" s="975" t="s">
        <v>135</v>
      </c>
      <c r="AU16" s="976">
        <v>0</v>
      </c>
      <c r="AV16" s="977">
        <v>0</v>
      </c>
      <c r="AW16" s="986">
        <v>0</v>
      </c>
      <c r="AX16" s="987">
        <v>0</v>
      </c>
    </row>
    <row r="17" spans="1:50" ht="18" thickBot="1">
      <c r="A17" s="799"/>
      <c r="B17" s="799"/>
      <c r="C17" s="689" t="s">
        <v>708</v>
      </c>
      <c r="D17" s="690">
        <v>0</v>
      </c>
      <c r="E17" s="689" t="s">
        <v>708</v>
      </c>
      <c r="F17" s="690">
        <v>0</v>
      </c>
      <c r="G17" s="687" t="s">
        <v>725</v>
      </c>
      <c r="H17" s="690">
        <v>500000</v>
      </c>
      <c r="I17" s="1219">
        <v>12</v>
      </c>
      <c r="J17" s="1228"/>
      <c r="K17" s="40"/>
      <c r="L17" s="9"/>
      <c r="M17" s="43"/>
      <c r="N17" s="9"/>
      <c r="O17" s="9" t="s">
        <v>38</v>
      </c>
      <c r="P17" s="198">
        <v>12000000</v>
      </c>
      <c r="Q17" s="198">
        <v>12000000</v>
      </c>
      <c r="R17" s="198"/>
      <c r="S17" s="165"/>
      <c r="T17" s="40"/>
      <c r="U17" s="9"/>
      <c r="V17" s="9"/>
      <c r="W17" s="9"/>
      <c r="X17" s="9" t="s">
        <v>135</v>
      </c>
      <c r="Y17" s="10" t="s">
        <v>135</v>
      </c>
      <c r="Z17" s="10"/>
      <c r="AA17" s="10"/>
      <c r="AB17" s="165"/>
      <c r="AC17" s="40"/>
      <c r="AD17" s="9"/>
      <c r="AE17" s="9"/>
      <c r="AF17" s="9"/>
      <c r="AG17" s="43" t="s">
        <v>135</v>
      </c>
      <c r="AH17" s="198" t="s">
        <v>135</v>
      </c>
      <c r="AI17" s="198"/>
      <c r="AJ17" s="198"/>
      <c r="AL17" s="981" t="s">
        <v>135</v>
      </c>
      <c r="AM17" s="982" t="s">
        <v>135</v>
      </c>
      <c r="AN17" s="983">
        <v>0</v>
      </c>
      <c r="AO17" s="984">
        <v>0</v>
      </c>
      <c r="AP17" s="971">
        <v>0</v>
      </c>
      <c r="AQ17" s="972">
        <v>0</v>
      </c>
      <c r="AR17" s="973">
        <v>0</v>
      </c>
      <c r="AS17" s="974">
        <v>0</v>
      </c>
      <c r="AT17" s="975" t="s">
        <v>135</v>
      </c>
      <c r="AU17" s="976">
        <v>0</v>
      </c>
      <c r="AV17" s="977">
        <v>0</v>
      </c>
      <c r="AW17" s="986">
        <v>0</v>
      </c>
      <c r="AX17" s="987">
        <v>0</v>
      </c>
    </row>
    <row r="18" spans="1:50" ht="18" thickBot="1">
      <c r="A18" s="1338"/>
      <c r="B18" s="1261"/>
      <c r="C18" s="692" t="s">
        <v>16</v>
      </c>
      <c r="D18" s="693"/>
      <c r="E18" s="694" t="s">
        <v>17</v>
      </c>
      <c r="F18" s="693"/>
      <c r="G18" s="689" t="s">
        <v>708</v>
      </c>
      <c r="H18" s="690">
        <v>0</v>
      </c>
      <c r="I18" s="1219">
        <v>12</v>
      </c>
      <c r="J18" s="1228"/>
      <c r="K18" s="41"/>
      <c r="L18" s="11"/>
      <c r="M18" s="11"/>
      <c r="N18" s="11"/>
      <c r="O18" s="11" t="s">
        <v>135</v>
      </c>
      <c r="P18" s="12" t="s">
        <v>135</v>
      </c>
      <c r="Q18" s="12" t="s">
        <v>135</v>
      </c>
      <c r="R18" s="12"/>
      <c r="S18" s="165"/>
      <c r="T18" s="41"/>
      <c r="U18" s="11"/>
      <c r="V18" s="11"/>
      <c r="W18" s="11"/>
      <c r="X18" s="44" t="s">
        <v>16</v>
      </c>
      <c r="Y18" s="199">
        <v>56400000</v>
      </c>
      <c r="Z18" s="199"/>
      <c r="AA18" s="199"/>
      <c r="AB18" s="165"/>
      <c r="AC18" s="41"/>
      <c r="AD18" s="11"/>
      <c r="AE18" s="11"/>
      <c r="AF18" s="11"/>
      <c r="AG18" s="11" t="s">
        <v>135</v>
      </c>
      <c r="AH18" s="12" t="s">
        <v>135</v>
      </c>
      <c r="AI18" s="12"/>
      <c r="AJ18" s="12"/>
      <c r="AL18" s="981" t="s">
        <v>135</v>
      </c>
      <c r="AM18" s="982" t="s">
        <v>135</v>
      </c>
      <c r="AN18" s="983">
        <v>0</v>
      </c>
      <c r="AO18" s="984">
        <v>0</v>
      </c>
      <c r="AP18" s="971">
        <v>0</v>
      </c>
      <c r="AQ18" s="972">
        <v>0</v>
      </c>
      <c r="AR18" s="973">
        <v>0</v>
      </c>
      <c r="AS18" s="974">
        <v>0</v>
      </c>
      <c r="AT18" s="975" t="s">
        <v>135</v>
      </c>
      <c r="AU18" s="976">
        <v>0</v>
      </c>
      <c r="AV18" s="977">
        <v>0</v>
      </c>
      <c r="AW18" s="986">
        <v>0</v>
      </c>
      <c r="AX18" s="987">
        <v>0</v>
      </c>
    </row>
    <row r="19" spans="1:50" ht="17.25">
      <c r="A19" s="1339"/>
      <c r="B19" s="1264"/>
      <c r="C19" s="684" t="s">
        <v>16</v>
      </c>
      <c r="D19" s="685"/>
      <c r="E19" s="686" t="s">
        <v>17</v>
      </c>
      <c r="F19" s="685"/>
      <c r="G19" s="689" t="s">
        <v>708</v>
      </c>
      <c r="H19" s="690">
        <v>0</v>
      </c>
      <c r="I19" s="1219">
        <v>12</v>
      </c>
      <c r="J19" s="1228"/>
      <c r="K19" s="40"/>
      <c r="L19" s="9"/>
      <c r="M19" s="9"/>
      <c r="N19" s="9"/>
      <c r="O19" s="43" t="s">
        <v>135</v>
      </c>
      <c r="P19" s="198" t="s">
        <v>135</v>
      </c>
      <c r="Q19" s="198" t="s">
        <v>135</v>
      </c>
      <c r="R19" s="198"/>
      <c r="S19" s="165"/>
      <c r="T19" s="40"/>
      <c r="U19" s="9"/>
      <c r="V19" s="9"/>
      <c r="W19" s="43"/>
      <c r="X19" s="9" t="s">
        <v>31</v>
      </c>
      <c r="Y19" s="198">
        <v>267</v>
      </c>
      <c r="Z19" s="198"/>
      <c r="AA19" s="198"/>
      <c r="AB19" s="165"/>
      <c r="AC19" s="40"/>
      <c r="AD19" s="9"/>
      <c r="AE19" s="9"/>
      <c r="AF19" s="9"/>
      <c r="AG19" s="43" t="s">
        <v>135</v>
      </c>
      <c r="AH19" s="198" t="s">
        <v>135</v>
      </c>
      <c r="AI19" s="198"/>
      <c r="AJ19" s="198"/>
      <c r="AL19" s="981" t="s">
        <v>135</v>
      </c>
      <c r="AM19" s="982" t="s">
        <v>135</v>
      </c>
      <c r="AN19" s="983">
        <v>0</v>
      </c>
      <c r="AO19" s="984">
        <v>0</v>
      </c>
      <c r="AP19" s="971">
        <v>0</v>
      </c>
      <c r="AQ19" s="972">
        <v>0</v>
      </c>
      <c r="AR19" s="973">
        <v>0</v>
      </c>
      <c r="AS19" s="974">
        <v>0</v>
      </c>
      <c r="AT19" s="975" t="s">
        <v>135</v>
      </c>
      <c r="AU19" s="976">
        <v>0</v>
      </c>
      <c r="AV19" s="977">
        <v>0</v>
      </c>
      <c r="AW19" s="986">
        <v>0</v>
      </c>
      <c r="AX19" s="987">
        <v>0</v>
      </c>
    </row>
    <row r="20" spans="1:50" ht="17.25">
      <c r="A20" s="1339"/>
      <c r="B20" s="1264"/>
      <c r="C20" s="689" t="s">
        <v>708</v>
      </c>
      <c r="D20" s="690">
        <v>0</v>
      </c>
      <c r="E20" s="689" t="s">
        <v>708</v>
      </c>
      <c r="F20" s="690">
        <v>0</v>
      </c>
      <c r="G20" s="689" t="s">
        <v>708</v>
      </c>
      <c r="H20" s="690">
        <v>0</v>
      </c>
      <c r="I20" s="1219">
        <v>12</v>
      </c>
      <c r="J20" s="1228"/>
      <c r="K20" s="41"/>
      <c r="L20" s="11"/>
      <c r="M20" s="11"/>
      <c r="N20" s="11"/>
      <c r="O20" s="11" t="s">
        <v>135</v>
      </c>
      <c r="P20" s="12" t="s">
        <v>135</v>
      </c>
      <c r="Q20" s="12" t="s">
        <v>135</v>
      </c>
      <c r="R20" s="12"/>
      <c r="S20" s="165"/>
      <c r="T20" s="41"/>
      <c r="U20" s="11"/>
      <c r="V20" s="44"/>
      <c r="W20" s="11"/>
      <c r="X20" s="11" t="s">
        <v>36</v>
      </c>
      <c r="Y20" s="199">
        <v>10000</v>
      </c>
      <c r="Z20" s="199"/>
      <c r="AA20" s="199"/>
      <c r="AB20" s="165"/>
      <c r="AC20" s="41"/>
      <c r="AD20" s="11"/>
      <c r="AE20" s="11"/>
      <c r="AF20" s="44"/>
      <c r="AG20" s="11" t="s">
        <v>135</v>
      </c>
      <c r="AH20" s="199" t="s">
        <v>135</v>
      </c>
      <c r="AI20" s="199"/>
      <c r="AJ20" s="199"/>
      <c r="AL20" s="981" t="s">
        <v>135</v>
      </c>
      <c r="AM20" s="982" t="s">
        <v>135</v>
      </c>
      <c r="AN20" s="983">
        <v>0</v>
      </c>
      <c r="AO20" s="984">
        <v>0</v>
      </c>
      <c r="AP20" s="971">
        <v>0</v>
      </c>
      <c r="AQ20" s="972">
        <v>0</v>
      </c>
      <c r="AR20" s="973">
        <v>0</v>
      </c>
      <c r="AS20" s="974">
        <v>0</v>
      </c>
      <c r="AT20" s="975" t="s">
        <v>135</v>
      </c>
      <c r="AU20" s="976">
        <v>0</v>
      </c>
      <c r="AV20" s="977">
        <v>0</v>
      </c>
      <c r="AW20" s="986">
        <v>0</v>
      </c>
      <c r="AX20" s="987">
        <v>0</v>
      </c>
    </row>
    <row r="21" spans="1:50" ht="18" thickBot="1">
      <c r="A21" s="1340"/>
      <c r="B21" s="1341"/>
      <c r="C21" s="689" t="s">
        <v>708</v>
      </c>
      <c r="D21" s="690">
        <v>0</v>
      </c>
      <c r="E21" s="689" t="s">
        <v>708</v>
      </c>
      <c r="F21" s="690">
        <v>0</v>
      </c>
      <c r="G21" s="689" t="s">
        <v>708</v>
      </c>
      <c r="H21" s="690">
        <v>0</v>
      </c>
      <c r="I21" s="1219">
        <v>12</v>
      </c>
      <c r="J21" s="1228"/>
      <c r="K21" s="40"/>
      <c r="L21" s="9"/>
      <c r="M21" s="9"/>
      <c r="N21" s="9"/>
      <c r="O21" s="43" t="s">
        <v>40</v>
      </c>
      <c r="P21" s="198">
        <v>747532000</v>
      </c>
      <c r="Q21" s="198">
        <v>747532000</v>
      </c>
      <c r="R21" s="198"/>
      <c r="S21" s="165"/>
      <c r="T21" s="40"/>
      <c r="U21" s="9"/>
      <c r="V21" s="9"/>
      <c r="W21" s="9"/>
      <c r="X21" s="9" t="s">
        <v>135</v>
      </c>
      <c r="Y21" s="10" t="s">
        <v>135</v>
      </c>
      <c r="Z21" s="10"/>
      <c r="AA21" s="10"/>
      <c r="AB21" s="165"/>
      <c r="AC21" s="40"/>
      <c r="AD21" s="9"/>
      <c r="AE21" s="43"/>
      <c r="AF21" s="9"/>
      <c r="AG21" s="9" t="s">
        <v>135</v>
      </c>
      <c r="AH21" s="198" t="s">
        <v>135</v>
      </c>
      <c r="AI21" s="198"/>
      <c r="AJ21" s="198"/>
      <c r="AL21" s="981" t="s">
        <v>135</v>
      </c>
      <c r="AM21" s="982" t="s">
        <v>135</v>
      </c>
      <c r="AN21" s="983">
        <v>0</v>
      </c>
      <c r="AO21" s="984">
        <v>0</v>
      </c>
      <c r="AP21" s="971">
        <v>0</v>
      </c>
      <c r="AQ21" s="972">
        <v>0</v>
      </c>
      <c r="AR21" s="973">
        <v>0</v>
      </c>
      <c r="AS21" s="974">
        <v>0</v>
      </c>
      <c r="AT21" s="975" t="s">
        <v>135</v>
      </c>
      <c r="AU21" s="976">
        <v>0</v>
      </c>
      <c r="AV21" s="977">
        <v>0</v>
      </c>
      <c r="AW21" s="986">
        <v>0</v>
      </c>
      <c r="AX21" s="987">
        <v>0</v>
      </c>
    </row>
    <row r="22" spans="1:50" ht="18" thickBot="1">
      <c r="A22" s="672"/>
      <c r="B22" s="649"/>
      <c r="C22" s="695"/>
      <c r="D22" s="695"/>
      <c r="E22" s="695"/>
      <c r="F22" s="695"/>
      <c r="G22" s="695"/>
      <c r="H22" s="695"/>
      <c r="I22" s="695"/>
      <c r="J22" s="1228"/>
      <c r="K22" s="41"/>
      <c r="L22" s="11"/>
      <c r="M22" s="11"/>
      <c r="N22" s="44"/>
      <c r="O22" s="11" t="s">
        <v>41</v>
      </c>
      <c r="P22" s="199">
        <v>82800000</v>
      </c>
      <c r="Q22" s="199">
        <v>82800000</v>
      </c>
      <c r="R22" s="199"/>
      <c r="S22" s="165"/>
      <c r="T22" s="41"/>
      <c r="U22" s="11"/>
      <c r="V22" s="11"/>
      <c r="W22" s="11"/>
      <c r="X22" s="44" t="s">
        <v>135</v>
      </c>
      <c r="Y22" s="199" t="s">
        <v>135</v>
      </c>
      <c r="Z22" s="199"/>
      <c r="AA22" s="199"/>
      <c r="AB22" s="165"/>
      <c r="AC22" s="41"/>
      <c r="AD22" s="44"/>
      <c r="AE22" s="11"/>
      <c r="AF22" s="11"/>
      <c r="AG22" s="11" t="s">
        <v>135</v>
      </c>
      <c r="AH22" s="199" t="s">
        <v>135</v>
      </c>
      <c r="AI22" s="199"/>
      <c r="AJ22" s="199"/>
      <c r="AL22" s="981" t="s">
        <v>135</v>
      </c>
      <c r="AM22" s="982" t="s">
        <v>135</v>
      </c>
      <c r="AN22" s="983">
        <v>0</v>
      </c>
      <c r="AO22" s="984">
        <v>0</v>
      </c>
      <c r="AP22" s="971">
        <v>0</v>
      </c>
      <c r="AQ22" s="972">
        <v>0</v>
      </c>
      <c r="AR22" s="973">
        <v>0</v>
      </c>
      <c r="AS22" s="974">
        <v>0</v>
      </c>
      <c r="AT22" s="975" t="s">
        <v>135</v>
      </c>
      <c r="AU22" s="976">
        <v>0</v>
      </c>
      <c r="AV22" s="977">
        <v>0</v>
      </c>
      <c r="AW22" s="986">
        <v>0</v>
      </c>
      <c r="AX22" s="987">
        <v>0</v>
      </c>
    </row>
    <row r="23" spans="1:50" ht="18" thickBot="1">
      <c r="A23" s="676" t="s">
        <v>658</v>
      </c>
      <c r="B23" s="677"/>
      <c r="C23" s="677"/>
      <c r="D23" s="677"/>
      <c r="E23" s="677"/>
      <c r="F23" s="677"/>
      <c r="G23" s="677"/>
      <c r="H23" s="677"/>
      <c r="I23" s="677"/>
      <c r="J23" s="1228"/>
      <c r="K23" s="40"/>
      <c r="L23" s="9"/>
      <c r="M23" s="43"/>
      <c r="N23" s="9"/>
      <c r="O23" s="9" t="s">
        <v>46</v>
      </c>
      <c r="P23" s="198">
        <v>80978000</v>
      </c>
      <c r="Q23" s="198">
        <v>80978000</v>
      </c>
      <c r="R23" s="198"/>
      <c r="S23" s="165"/>
      <c r="T23" s="40"/>
      <c r="U23" s="9"/>
      <c r="V23" s="9"/>
      <c r="W23" s="43"/>
      <c r="X23" s="9" t="s">
        <v>135</v>
      </c>
      <c r="Y23" s="198" t="s">
        <v>135</v>
      </c>
      <c r="Z23" s="198"/>
      <c r="AA23" s="198"/>
      <c r="AB23" s="165"/>
      <c r="AC23" s="40"/>
      <c r="AD23" s="9"/>
      <c r="AE23" s="9"/>
      <c r="AF23" s="9"/>
      <c r="AG23" s="9" t="s">
        <v>135</v>
      </c>
      <c r="AH23" s="10" t="s">
        <v>135</v>
      </c>
      <c r="AI23" s="10"/>
      <c r="AJ23" s="10"/>
      <c r="AL23" s="981" t="s">
        <v>135</v>
      </c>
      <c r="AM23" s="982" t="s">
        <v>135</v>
      </c>
      <c r="AN23" s="983">
        <v>0</v>
      </c>
      <c r="AO23" s="984">
        <v>0</v>
      </c>
      <c r="AP23" s="971">
        <v>0</v>
      </c>
      <c r="AQ23" s="972">
        <v>0</v>
      </c>
      <c r="AR23" s="973">
        <v>0</v>
      </c>
      <c r="AS23" s="974">
        <v>0</v>
      </c>
      <c r="AT23" s="975" t="s">
        <v>135</v>
      </c>
      <c r="AU23" s="976">
        <v>0</v>
      </c>
      <c r="AV23" s="977">
        <v>0</v>
      </c>
      <c r="AW23" s="986">
        <v>0</v>
      </c>
      <c r="AX23" s="987">
        <v>0</v>
      </c>
    </row>
    <row r="24" spans="1:50" ht="18" thickBot="1">
      <c r="A24" s="345" t="s">
        <v>51</v>
      </c>
      <c r="B24" s="748"/>
      <c r="C24" s="345" t="s">
        <v>52</v>
      </c>
      <c r="D24" s="748"/>
      <c r="E24" s="345" t="s">
        <v>53</v>
      </c>
      <c r="F24" s="748"/>
      <c r="G24" s="345" t="s">
        <v>50</v>
      </c>
      <c r="H24" s="536"/>
      <c r="I24" s="1220"/>
      <c r="J24" s="1228"/>
      <c r="K24" s="41"/>
      <c r="L24" s="11"/>
      <c r="M24" s="11"/>
      <c r="N24" s="11"/>
      <c r="O24" s="11" t="s">
        <v>48</v>
      </c>
      <c r="P24" s="12">
        <v>101683000</v>
      </c>
      <c r="Q24" s="12">
        <v>101683000</v>
      </c>
      <c r="R24" s="12"/>
      <c r="S24" s="165"/>
      <c r="T24" s="41"/>
      <c r="U24" s="11"/>
      <c r="V24" s="44"/>
      <c r="W24" s="11"/>
      <c r="X24" s="11" t="s">
        <v>135</v>
      </c>
      <c r="Y24" s="199" t="s">
        <v>135</v>
      </c>
      <c r="Z24" s="199"/>
      <c r="AA24" s="199"/>
      <c r="AB24" s="165"/>
      <c r="AC24" s="41"/>
      <c r="AD24" s="11"/>
      <c r="AE24" s="11"/>
      <c r="AF24" s="11"/>
      <c r="AG24" s="11" t="s">
        <v>135</v>
      </c>
      <c r="AH24" s="12" t="s">
        <v>135</v>
      </c>
      <c r="AI24" s="12"/>
      <c r="AJ24" s="12"/>
      <c r="AL24" s="981" t="s">
        <v>135</v>
      </c>
      <c r="AM24" s="982" t="s">
        <v>135</v>
      </c>
      <c r="AN24" s="983">
        <v>0</v>
      </c>
      <c r="AO24" s="984">
        <v>0</v>
      </c>
      <c r="AP24" s="971">
        <v>0</v>
      </c>
      <c r="AQ24" s="972">
        <v>0</v>
      </c>
      <c r="AR24" s="973">
        <v>0</v>
      </c>
      <c r="AS24" s="974">
        <v>0</v>
      </c>
      <c r="AT24" s="975" t="s">
        <v>135</v>
      </c>
      <c r="AU24" s="976">
        <v>0</v>
      </c>
      <c r="AV24" s="977">
        <v>0</v>
      </c>
      <c r="AW24" s="986">
        <v>0</v>
      </c>
      <c r="AX24" s="987">
        <v>0</v>
      </c>
    </row>
    <row r="25" spans="1:50" ht="17.25">
      <c r="A25" s="928" t="s">
        <v>51</v>
      </c>
      <c r="B25" s="929"/>
      <c r="C25" s="930" t="s">
        <v>52</v>
      </c>
      <c r="D25" s="929"/>
      <c r="E25" s="930" t="s">
        <v>53</v>
      </c>
      <c r="F25" s="749"/>
      <c r="G25" s="933" t="s">
        <v>718</v>
      </c>
      <c r="H25" s="756"/>
      <c r="I25" s="1221">
        <v>12</v>
      </c>
      <c r="J25" s="1228"/>
      <c r="K25" s="40"/>
      <c r="L25" s="9"/>
      <c r="M25" s="9"/>
      <c r="N25" s="9"/>
      <c r="O25" s="43" t="s">
        <v>49</v>
      </c>
      <c r="P25" s="198">
        <v>8664000</v>
      </c>
      <c r="Q25" s="198">
        <v>8664000</v>
      </c>
      <c r="R25" s="198"/>
      <c r="S25" s="165"/>
      <c r="T25" s="40"/>
      <c r="U25" s="43"/>
      <c r="V25" s="9"/>
      <c r="W25" s="9"/>
      <c r="X25" s="9" t="s">
        <v>135</v>
      </c>
      <c r="Y25" s="198" t="s">
        <v>135</v>
      </c>
      <c r="Z25" s="198"/>
      <c r="AA25" s="198"/>
      <c r="AB25" s="165"/>
      <c r="AC25" s="40"/>
      <c r="AD25" s="9"/>
      <c r="AE25" s="9"/>
      <c r="AF25" s="9"/>
      <c r="AG25" s="43" t="s">
        <v>135</v>
      </c>
      <c r="AH25" s="198" t="s">
        <v>135</v>
      </c>
      <c r="AI25" s="198"/>
      <c r="AJ25" s="198"/>
      <c r="AL25" s="981" t="s">
        <v>135</v>
      </c>
      <c r="AM25" s="982" t="s">
        <v>135</v>
      </c>
      <c r="AN25" s="983">
        <v>0</v>
      </c>
      <c r="AO25" s="984">
        <v>0</v>
      </c>
      <c r="AP25" s="971">
        <v>0</v>
      </c>
      <c r="AQ25" s="972">
        <v>0</v>
      </c>
      <c r="AR25" s="973">
        <v>0</v>
      </c>
      <c r="AS25" s="974">
        <v>0</v>
      </c>
      <c r="AT25" s="975" t="s">
        <v>135</v>
      </c>
      <c r="AU25" s="976">
        <v>0</v>
      </c>
      <c r="AV25" s="977">
        <v>0</v>
      </c>
      <c r="AW25" s="986">
        <v>0</v>
      </c>
      <c r="AX25" s="987">
        <v>0</v>
      </c>
    </row>
    <row r="26" spans="1:50" ht="17.25">
      <c r="A26" s="934" t="s">
        <v>708</v>
      </c>
      <c r="B26" s="750">
        <v>0</v>
      </c>
      <c r="C26" s="689" t="s">
        <v>708</v>
      </c>
      <c r="D26" s="750">
        <v>0</v>
      </c>
      <c r="E26" s="689" t="s">
        <v>708</v>
      </c>
      <c r="F26" s="750">
        <v>0</v>
      </c>
      <c r="G26" s="927" t="s">
        <v>713</v>
      </c>
      <c r="H26" s="750">
        <v>400000</v>
      </c>
      <c r="I26" s="1219">
        <v>12</v>
      </c>
      <c r="J26" s="1228"/>
      <c r="K26" s="41"/>
      <c r="L26" s="11"/>
      <c r="M26" s="11"/>
      <c r="N26" s="44"/>
      <c r="O26" s="11" t="s">
        <v>50</v>
      </c>
      <c r="P26" s="199">
        <v>6000000</v>
      </c>
      <c r="Q26" s="199">
        <v>6000000</v>
      </c>
      <c r="R26" s="199"/>
      <c r="S26" s="165"/>
      <c r="T26" s="41"/>
      <c r="U26" s="11"/>
      <c r="V26" s="11"/>
      <c r="W26" s="11"/>
      <c r="X26" s="11" t="s">
        <v>135</v>
      </c>
      <c r="Y26" s="12" t="s">
        <v>135</v>
      </c>
      <c r="Z26" s="12"/>
      <c r="AA26" s="12"/>
      <c r="AB26" s="165"/>
      <c r="AC26" s="41"/>
      <c r="AD26" s="11"/>
      <c r="AE26" s="11"/>
      <c r="AF26" s="11"/>
      <c r="AG26" s="11" t="s">
        <v>135</v>
      </c>
      <c r="AH26" s="12" t="s">
        <v>135</v>
      </c>
      <c r="AI26" s="12"/>
      <c r="AJ26" s="12"/>
      <c r="AL26" s="981" t="s">
        <v>135</v>
      </c>
      <c r="AM26" s="982" t="s">
        <v>135</v>
      </c>
      <c r="AN26" s="983">
        <v>0</v>
      </c>
      <c r="AO26" s="984">
        <v>0</v>
      </c>
      <c r="AP26" s="971">
        <v>0</v>
      </c>
      <c r="AQ26" s="972">
        <v>0</v>
      </c>
      <c r="AR26" s="973">
        <v>0</v>
      </c>
      <c r="AS26" s="974">
        <v>0</v>
      </c>
      <c r="AT26" s="975" t="s">
        <v>135</v>
      </c>
      <c r="AU26" s="976">
        <v>0</v>
      </c>
      <c r="AV26" s="977">
        <v>0</v>
      </c>
      <c r="AW26" s="986">
        <v>0</v>
      </c>
      <c r="AX26" s="987">
        <v>0</v>
      </c>
    </row>
    <row r="27" spans="1:50" ht="17.25">
      <c r="A27" s="934" t="s">
        <v>708</v>
      </c>
      <c r="B27" s="750">
        <v>0</v>
      </c>
      <c r="C27" s="689" t="s">
        <v>708</v>
      </c>
      <c r="D27" s="750">
        <v>0</v>
      </c>
      <c r="E27" s="689" t="s">
        <v>708</v>
      </c>
      <c r="F27" s="750">
        <v>0</v>
      </c>
      <c r="G27" s="687" t="s">
        <v>728</v>
      </c>
      <c r="H27" s="750">
        <v>100000</v>
      </c>
      <c r="I27" s="1219">
        <v>12</v>
      </c>
      <c r="J27" s="1228"/>
      <c r="K27" s="40"/>
      <c r="L27" s="9"/>
      <c r="M27" s="43"/>
      <c r="N27" s="9"/>
      <c r="O27" s="9" t="s">
        <v>51</v>
      </c>
      <c r="P27" s="198">
        <v>12000000</v>
      </c>
      <c r="Q27" s="198">
        <v>12000000</v>
      </c>
      <c r="R27" s="198"/>
      <c r="S27" s="165"/>
      <c r="T27" s="40"/>
      <c r="U27" s="9"/>
      <c r="V27" s="9"/>
      <c r="W27" s="9"/>
      <c r="X27" s="43" t="s">
        <v>135</v>
      </c>
      <c r="Y27" s="198" t="s">
        <v>135</v>
      </c>
      <c r="Z27" s="198"/>
      <c r="AA27" s="198"/>
      <c r="AB27" s="165"/>
      <c r="AC27" s="40"/>
      <c r="AD27" s="9"/>
      <c r="AE27" s="9"/>
      <c r="AF27" s="9"/>
      <c r="AG27" s="9" t="s">
        <v>135</v>
      </c>
      <c r="AH27" s="10" t="s">
        <v>135</v>
      </c>
      <c r="AI27" s="10"/>
      <c r="AJ27" s="10"/>
      <c r="AL27" s="981" t="s">
        <v>135</v>
      </c>
      <c r="AM27" s="982" t="s">
        <v>135</v>
      </c>
      <c r="AN27" s="983">
        <v>0</v>
      </c>
      <c r="AO27" s="984">
        <v>0</v>
      </c>
      <c r="AP27" s="971">
        <v>0</v>
      </c>
      <c r="AQ27" s="972">
        <v>0</v>
      </c>
      <c r="AR27" s="973">
        <v>0</v>
      </c>
      <c r="AS27" s="974">
        <v>0</v>
      </c>
      <c r="AT27" s="975" t="s">
        <v>135</v>
      </c>
      <c r="AU27" s="976">
        <v>0</v>
      </c>
      <c r="AV27" s="977">
        <v>0</v>
      </c>
      <c r="AW27" s="986">
        <v>0</v>
      </c>
      <c r="AX27" s="987">
        <v>0</v>
      </c>
    </row>
    <row r="28" spans="1:50" ht="17.25">
      <c r="A28" s="934" t="s">
        <v>708</v>
      </c>
      <c r="B28" s="750">
        <v>0</v>
      </c>
      <c r="C28" s="689" t="s">
        <v>708</v>
      </c>
      <c r="D28" s="750">
        <v>0</v>
      </c>
      <c r="E28" s="689" t="s">
        <v>708</v>
      </c>
      <c r="F28" s="750">
        <v>0</v>
      </c>
      <c r="G28" s="689" t="s">
        <v>708</v>
      </c>
      <c r="H28" s="750">
        <v>0</v>
      </c>
      <c r="I28" s="1219">
        <v>12</v>
      </c>
      <c r="J28" s="1228"/>
      <c r="K28" s="41"/>
      <c r="L28" s="11"/>
      <c r="M28" s="11"/>
      <c r="N28" s="11"/>
      <c r="O28" s="11" t="s">
        <v>52</v>
      </c>
      <c r="P28" s="12">
        <v>756000</v>
      </c>
      <c r="Q28" s="12">
        <v>756000</v>
      </c>
      <c r="R28" s="12"/>
      <c r="S28" s="165"/>
      <c r="T28" s="41"/>
      <c r="U28" s="11"/>
      <c r="V28" s="11"/>
      <c r="W28" s="11"/>
      <c r="X28" s="11" t="s">
        <v>135</v>
      </c>
      <c r="Y28" s="12" t="s">
        <v>135</v>
      </c>
      <c r="Z28" s="12"/>
      <c r="AA28" s="12"/>
      <c r="AB28" s="165"/>
      <c r="AC28" s="41"/>
      <c r="AD28" s="11"/>
      <c r="AE28" s="11"/>
      <c r="AF28" s="11"/>
      <c r="AG28" s="44" t="s">
        <v>135</v>
      </c>
      <c r="AH28" s="199" t="s">
        <v>135</v>
      </c>
      <c r="AI28" s="199"/>
      <c r="AJ28" s="199"/>
      <c r="AL28" s="981" t="s">
        <v>135</v>
      </c>
      <c r="AM28" s="982" t="s">
        <v>135</v>
      </c>
      <c r="AN28" s="983">
        <v>0</v>
      </c>
      <c r="AO28" s="984">
        <v>0</v>
      </c>
      <c r="AP28" s="971">
        <v>0</v>
      </c>
      <c r="AQ28" s="972">
        <v>0</v>
      </c>
      <c r="AR28" s="973">
        <v>0</v>
      </c>
      <c r="AS28" s="974">
        <v>0</v>
      </c>
      <c r="AT28" s="975" t="s">
        <v>135</v>
      </c>
      <c r="AU28" s="976">
        <v>0</v>
      </c>
      <c r="AV28" s="977">
        <v>0</v>
      </c>
      <c r="AW28" s="986">
        <v>0</v>
      </c>
      <c r="AX28" s="987">
        <v>0</v>
      </c>
    </row>
    <row r="29" spans="1:50" ht="17.25">
      <c r="A29" s="934" t="s">
        <v>708</v>
      </c>
      <c r="B29" s="750">
        <v>0</v>
      </c>
      <c r="C29" s="689" t="s">
        <v>708</v>
      </c>
      <c r="D29" s="750">
        <v>0</v>
      </c>
      <c r="E29" s="689" t="s">
        <v>708</v>
      </c>
      <c r="F29" s="750">
        <v>0</v>
      </c>
      <c r="G29" s="689" t="s">
        <v>708</v>
      </c>
      <c r="H29" s="750">
        <v>0</v>
      </c>
      <c r="I29" s="1219">
        <v>12</v>
      </c>
      <c r="J29" s="1228"/>
      <c r="K29" s="40"/>
      <c r="L29" s="9"/>
      <c r="M29" s="9"/>
      <c r="N29" s="9"/>
      <c r="O29" s="43" t="s">
        <v>53</v>
      </c>
      <c r="P29" s="198">
        <v>1200000</v>
      </c>
      <c r="Q29" s="198">
        <v>1200000</v>
      </c>
      <c r="R29" s="198"/>
      <c r="S29" s="165"/>
      <c r="T29" s="40"/>
      <c r="U29" s="9"/>
      <c r="V29" s="9"/>
      <c r="W29" s="9"/>
      <c r="X29" s="43" t="s">
        <v>135</v>
      </c>
      <c r="Y29" s="198" t="s">
        <v>135</v>
      </c>
      <c r="Z29" s="198"/>
      <c r="AA29" s="198"/>
      <c r="AB29" s="165"/>
      <c r="AC29" s="40"/>
      <c r="AD29" s="9"/>
      <c r="AE29" s="9"/>
      <c r="AF29" s="9"/>
      <c r="AG29" s="9" t="s">
        <v>135</v>
      </c>
      <c r="AH29" s="10" t="s">
        <v>135</v>
      </c>
      <c r="AI29" s="10"/>
      <c r="AJ29" s="10"/>
      <c r="AL29" s="981" t="s">
        <v>135</v>
      </c>
      <c r="AM29" s="982" t="s">
        <v>135</v>
      </c>
      <c r="AN29" s="983">
        <v>0</v>
      </c>
      <c r="AO29" s="984">
        <v>0</v>
      </c>
      <c r="AP29" s="971">
        <v>0</v>
      </c>
      <c r="AQ29" s="972">
        <v>0</v>
      </c>
      <c r="AR29" s="973">
        <v>0</v>
      </c>
      <c r="AS29" s="974">
        <v>0</v>
      </c>
      <c r="AT29" s="975" t="s">
        <v>135</v>
      </c>
      <c r="AU29" s="976">
        <v>0</v>
      </c>
      <c r="AV29" s="977">
        <v>0</v>
      </c>
      <c r="AW29" s="986">
        <v>0</v>
      </c>
      <c r="AX29" s="987">
        <v>0</v>
      </c>
    </row>
    <row r="30" spans="1:50" ht="17.25">
      <c r="A30" s="934" t="s">
        <v>708</v>
      </c>
      <c r="B30" s="750">
        <v>0</v>
      </c>
      <c r="C30" s="689" t="s">
        <v>708</v>
      </c>
      <c r="D30" s="750">
        <v>0</v>
      </c>
      <c r="E30" s="689" t="s">
        <v>708</v>
      </c>
      <c r="F30" s="750">
        <v>0</v>
      </c>
      <c r="G30" s="689" t="s">
        <v>708</v>
      </c>
      <c r="H30" s="750">
        <v>0</v>
      </c>
      <c r="I30" s="1219">
        <v>12</v>
      </c>
      <c r="J30" s="1228"/>
      <c r="K30" s="41"/>
      <c r="L30" s="11"/>
      <c r="M30" s="11"/>
      <c r="N30" s="11"/>
      <c r="O30" s="11" t="s">
        <v>54</v>
      </c>
      <c r="P30" s="12">
        <v>66000000</v>
      </c>
      <c r="Q30" s="12">
        <v>66000000</v>
      </c>
      <c r="R30" s="12"/>
      <c r="S30" s="165"/>
      <c r="T30" s="41"/>
      <c r="U30" s="11"/>
      <c r="V30" s="11"/>
      <c r="W30" s="44"/>
      <c r="X30" s="11" t="s">
        <v>135</v>
      </c>
      <c r="Y30" s="199" t="s">
        <v>135</v>
      </c>
      <c r="Z30" s="199"/>
      <c r="AA30" s="199"/>
      <c r="AB30" s="165"/>
      <c r="AC30" s="41"/>
      <c r="AD30" s="11"/>
      <c r="AE30" s="11"/>
      <c r="AF30" s="11"/>
      <c r="AG30" s="11" t="s">
        <v>135</v>
      </c>
      <c r="AH30" s="12" t="s">
        <v>135</v>
      </c>
      <c r="AI30" s="12"/>
      <c r="AJ30" s="12"/>
      <c r="AL30" s="981" t="s">
        <v>135</v>
      </c>
      <c r="AM30" s="982" t="s">
        <v>135</v>
      </c>
      <c r="AN30" s="983">
        <v>0</v>
      </c>
      <c r="AO30" s="984">
        <v>0</v>
      </c>
      <c r="AP30" s="971">
        <v>0</v>
      </c>
      <c r="AQ30" s="972">
        <v>0</v>
      </c>
      <c r="AR30" s="973">
        <v>0</v>
      </c>
      <c r="AS30" s="974">
        <v>0</v>
      </c>
      <c r="AT30" s="975" t="s">
        <v>135</v>
      </c>
      <c r="AU30" s="976">
        <v>0</v>
      </c>
      <c r="AV30" s="977">
        <v>0</v>
      </c>
      <c r="AW30" s="986">
        <v>0</v>
      </c>
      <c r="AX30" s="987">
        <v>0</v>
      </c>
    </row>
    <row r="31" spans="1:50" ht="18" thickBot="1">
      <c r="A31" s="925" t="s">
        <v>708</v>
      </c>
      <c r="B31" s="751">
        <v>0</v>
      </c>
      <c r="C31" s="935" t="s">
        <v>708</v>
      </c>
      <c r="D31" s="751">
        <v>0</v>
      </c>
      <c r="E31" s="935" t="s">
        <v>708</v>
      </c>
      <c r="F31" s="751">
        <v>0</v>
      </c>
      <c r="G31" s="935" t="s">
        <v>708</v>
      </c>
      <c r="H31" s="751">
        <v>0</v>
      </c>
      <c r="I31" s="1222">
        <v>12</v>
      </c>
      <c r="J31" s="1228"/>
      <c r="K31" s="40"/>
      <c r="L31" s="9"/>
      <c r="M31" s="9"/>
      <c r="N31" s="9"/>
      <c r="O31" s="43" t="s">
        <v>863</v>
      </c>
      <c r="P31" s="198">
        <v>87000000</v>
      </c>
      <c r="Q31" s="198">
        <v>87000000</v>
      </c>
      <c r="R31" s="198"/>
      <c r="S31" s="165"/>
      <c r="T31" s="40"/>
      <c r="U31" s="9"/>
      <c r="V31" s="43"/>
      <c r="W31" s="9"/>
      <c r="X31" s="9" t="s">
        <v>135</v>
      </c>
      <c r="Y31" s="198" t="s">
        <v>135</v>
      </c>
      <c r="Z31" s="198"/>
      <c r="AA31" s="198"/>
      <c r="AB31" s="165"/>
      <c r="AC31" s="40"/>
      <c r="AD31" s="9"/>
      <c r="AE31" s="9"/>
      <c r="AF31" s="9"/>
      <c r="AG31" s="43" t="s">
        <v>135</v>
      </c>
      <c r="AH31" s="198" t="s">
        <v>135</v>
      </c>
      <c r="AI31" s="198"/>
      <c r="AJ31" s="198"/>
      <c r="AL31" s="981" t="s">
        <v>135</v>
      </c>
      <c r="AM31" s="982" t="s">
        <v>135</v>
      </c>
      <c r="AN31" s="983">
        <v>0</v>
      </c>
      <c r="AO31" s="984">
        <v>0</v>
      </c>
      <c r="AP31" s="971">
        <v>0</v>
      </c>
      <c r="AQ31" s="972">
        <v>0</v>
      </c>
      <c r="AR31" s="973">
        <v>0</v>
      </c>
      <c r="AS31" s="974">
        <v>0</v>
      </c>
      <c r="AT31" s="975" t="s">
        <v>135</v>
      </c>
      <c r="AU31" s="976">
        <v>0</v>
      </c>
      <c r="AV31" s="977">
        <v>0</v>
      </c>
      <c r="AW31" s="986">
        <v>0</v>
      </c>
      <c r="AX31" s="987">
        <v>0</v>
      </c>
    </row>
    <row r="32" spans="1:50" ht="18" thickBot="1">
      <c r="A32" s="694" t="s">
        <v>54</v>
      </c>
      <c r="B32" s="693"/>
      <c r="C32" s="697" t="s">
        <v>659</v>
      </c>
      <c r="D32" s="698"/>
      <c r="E32" s="699">
        <v>0.55000000000000004</v>
      </c>
      <c r="F32" s="700"/>
      <c r="G32" s="694" t="s">
        <v>55</v>
      </c>
      <c r="H32" s="693"/>
      <c r="I32" s="700" t="s">
        <v>660</v>
      </c>
      <c r="J32" s="1228"/>
      <c r="K32" s="41"/>
      <c r="L32" s="11"/>
      <c r="M32" s="11"/>
      <c r="N32" s="44"/>
      <c r="O32" s="11" t="s">
        <v>55</v>
      </c>
      <c r="P32" s="199">
        <v>7200000</v>
      </c>
      <c r="Q32" s="199">
        <v>7200000</v>
      </c>
      <c r="R32" s="199"/>
      <c r="S32" s="165"/>
      <c r="T32" s="41"/>
      <c r="U32" s="11"/>
      <c r="V32" s="11"/>
      <c r="W32" s="11"/>
      <c r="X32" s="11" t="s">
        <v>135</v>
      </c>
      <c r="Y32" s="12" t="s">
        <v>135</v>
      </c>
      <c r="Z32" s="12"/>
      <c r="AA32" s="12"/>
      <c r="AB32" s="165"/>
      <c r="AC32" s="41"/>
      <c r="AD32" s="11"/>
      <c r="AE32" s="11"/>
      <c r="AF32" s="44"/>
      <c r="AG32" s="11" t="s">
        <v>135</v>
      </c>
      <c r="AH32" s="199" t="s">
        <v>135</v>
      </c>
      <c r="AI32" s="199"/>
      <c r="AJ32" s="199"/>
      <c r="AL32" s="981" t="s">
        <v>135</v>
      </c>
      <c r="AM32" s="982" t="s">
        <v>135</v>
      </c>
      <c r="AN32" s="983">
        <v>0</v>
      </c>
      <c r="AO32" s="984">
        <v>0</v>
      </c>
      <c r="AP32" s="971">
        <v>0</v>
      </c>
      <c r="AQ32" s="972">
        <v>0</v>
      </c>
      <c r="AR32" s="973">
        <v>0</v>
      </c>
      <c r="AS32" s="974">
        <v>0</v>
      </c>
      <c r="AT32" s="975" t="s">
        <v>135</v>
      </c>
      <c r="AU32" s="976">
        <v>0</v>
      </c>
      <c r="AV32" s="977">
        <v>0</v>
      </c>
      <c r="AW32" s="986">
        <v>0</v>
      </c>
      <c r="AX32" s="987">
        <v>0</v>
      </c>
    </row>
    <row r="33" spans="1:50" ht="18" thickBot="1">
      <c r="A33" s="394" t="s">
        <v>661</v>
      </c>
      <c r="B33" s="702"/>
      <c r="C33" s="703" t="s">
        <v>662</v>
      </c>
      <c r="D33" s="693"/>
      <c r="E33" s="694" t="s">
        <v>663</v>
      </c>
      <c r="F33" s="693"/>
      <c r="G33" s="3" t="s">
        <v>664</v>
      </c>
      <c r="H33" s="690"/>
      <c r="I33" s="1219">
        <v>12</v>
      </c>
      <c r="J33" s="1228"/>
      <c r="K33" s="40"/>
      <c r="L33" s="9"/>
      <c r="M33" s="43"/>
      <c r="N33" s="9"/>
      <c r="O33" s="9" t="s">
        <v>57</v>
      </c>
      <c r="P33" s="198">
        <v>24378000</v>
      </c>
      <c r="Q33" s="198">
        <v>24378000</v>
      </c>
      <c r="R33" s="198"/>
      <c r="S33" s="165"/>
      <c r="T33" s="40"/>
      <c r="U33" s="9"/>
      <c r="V33" s="9"/>
      <c r="W33" s="9"/>
      <c r="X33" s="43" t="s">
        <v>135</v>
      </c>
      <c r="Y33" s="198" t="s">
        <v>135</v>
      </c>
      <c r="Z33" s="198"/>
      <c r="AA33" s="198"/>
      <c r="AB33" s="165"/>
      <c r="AC33" s="40"/>
      <c r="AD33" s="9"/>
      <c r="AE33" s="9"/>
      <c r="AF33" s="9"/>
      <c r="AG33" s="9" t="s">
        <v>135</v>
      </c>
      <c r="AH33" s="10" t="s">
        <v>135</v>
      </c>
      <c r="AI33" s="10"/>
      <c r="AJ33" s="10"/>
      <c r="AL33" s="981" t="s">
        <v>135</v>
      </c>
      <c r="AM33" s="982" t="s">
        <v>135</v>
      </c>
      <c r="AN33" s="983">
        <v>0</v>
      </c>
      <c r="AO33" s="984">
        <v>0</v>
      </c>
      <c r="AP33" s="971">
        <v>0</v>
      </c>
      <c r="AQ33" s="972">
        <v>0</v>
      </c>
      <c r="AR33" s="973">
        <v>0</v>
      </c>
      <c r="AS33" s="974">
        <v>0</v>
      </c>
      <c r="AT33" s="975" t="s">
        <v>135</v>
      </c>
      <c r="AU33" s="976">
        <v>0</v>
      </c>
      <c r="AV33" s="977">
        <v>0</v>
      </c>
      <c r="AW33" s="986">
        <v>0</v>
      </c>
      <c r="AX33" s="987">
        <v>0</v>
      </c>
    </row>
    <row r="34" spans="1:50" ht="17.25">
      <c r="A34" s="623" t="s">
        <v>665</v>
      </c>
      <c r="B34" s="690">
        <v>600000</v>
      </c>
      <c r="C34" s="3" t="s">
        <v>662</v>
      </c>
      <c r="D34" s="690"/>
      <c r="E34" s="3" t="s">
        <v>666</v>
      </c>
      <c r="F34" s="690"/>
      <c r="G34" s="624" t="s">
        <v>667</v>
      </c>
      <c r="H34" s="690">
        <v>135000</v>
      </c>
      <c r="I34" s="1219">
        <v>12</v>
      </c>
      <c r="J34" s="1228"/>
      <c r="K34" s="41"/>
      <c r="L34" s="11"/>
      <c r="M34" s="11"/>
      <c r="N34" s="11"/>
      <c r="O34" s="11" t="s">
        <v>58</v>
      </c>
      <c r="P34" s="12">
        <v>30000000</v>
      </c>
      <c r="Q34" s="12">
        <v>30000000</v>
      </c>
      <c r="R34" s="12"/>
      <c r="S34" s="165"/>
      <c r="T34" s="41"/>
      <c r="U34" s="11"/>
      <c r="V34" s="11"/>
      <c r="W34" s="11"/>
      <c r="X34" s="11" t="s">
        <v>135</v>
      </c>
      <c r="Y34" s="12" t="s">
        <v>135</v>
      </c>
      <c r="Z34" s="12"/>
      <c r="AA34" s="12"/>
      <c r="AB34" s="165"/>
      <c r="AC34" s="41"/>
      <c r="AD34" s="11"/>
      <c r="AE34" s="11"/>
      <c r="AF34" s="11"/>
      <c r="AG34" s="44" t="s">
        <v>135</v>
      </c>
      <c r="AH34" s="199" t="s">
        <v>135</v>
      </c>
      <c r="AI34" s="199"/>
      <c r="AJ34" s="199"/>
      <c r="AL34" s="981" t="s">
        <v>135</v>
      </c>
      <c r="AM34" s="982" t="s">
        <v>135</v>
      </c>
      <c r="AN34" s="983">
        <v>0</v>
      </c>
      <c r="AO34" s="984">
        <v>0</v>
      </c>
      <c r="AP34" s="971">
        <v>0</v>
      </c>
      <c r="AQ34" s="972">
        <v>0</v>
      </c>
      <c r="AR34" s="973">
        <v>0</v>
      </c>
      <c r="AS34" s="974">
        <v>0</v>
      </c>
      <c r="AT34" s="975" t="s">
        <v>135</v>
      </c>
      <c r="AU34" s="976">
        <v>0</v>
      </c>
      <c r="AV34" s="977">
        <v>0</v>
      </c>
      <c r="AW34" s="986">
        <v>0</v>
      </c>
      <c r="AX34" s="987">
        <v>0</v>
      </c>
    </row>
    <row r="35" spans="1:50" ht="17.25">
      <c r="A35" s="623" t="s">
        <v>668</v>
      </c>
      <c r="B35" s="690">
        <v>600000</v>
      </c>
      <c r="C35" s="624" t="s">
        <v>669</v>
      </c>
      <c r="D35" s="690">
        <v>715000</v>
      </c>
      <c r="E35" s="624" t="s">
        <v>670</v>
      </c>
      <c r="F35" s="690">
        <v>1463000</v>
      </c>
      <c r="G35" s="689" t="s">
        <v>708</v>
      </c>
      <c r="H35" s="690">
        <v>0</v>
      </c>
      <c r="I35" s="1219">
        <v>12</v>
      </c>
      <c r="J35" s="1228"/>
      <c r="K35" s="40"/>
      <c r="L35" s="9"/>
      <c r="M35" s="9"/>
      <c r="N35" s="9"/>
      <c r="O35" s="43" t="s">
        <v>59</v>
      </c>
      <c r="P35" s="198">
        <v>16200000</v>
      </c>
      <c r="Q35" s="198">
        <v>16200000</v>
      </c>
      <c r="R35" s="198"/>
      <c r="S35" s="165"/>
      <c r="T35" s="40"/>
      <c r="U35" s="9"/>
      <c r="V35" s="9"/>
      <c r="W35" s="9"/>
      <c r="X35" s="43" t="s">
        <v>135</v>
      </c>
      <c r="Y35" s="198" t="s">
        <v>135</v>
      </c>
      <c r="Z35" s="198"/>
      <c r="AA35" s="198"/>
      <c r="AB35" s="165"/>
      <c r="AC35" s="40"/>
      <c r="AD35" s="9"/>
      <c r="AE35" s="9"/>
      <c r="AF35" s="9"/>
      <c r="AG35" s="9" t="s">
        <v>135</v>
      </c>
      <c r="AH35" s="10" t="s">
        <v>135</v>
      </c>
      <c r="AI35" s="10"/>
      <c r="AJ35" s="10"/>
      <c r="AL35" s="981" t="s">
        <v>135</v>
      </c>
      <c r="AM35" s="982" t="s">
        <v>135</v>
      </c>
      <c r="AN35" s="983">
        <v>0</v>
      </c>
      <c r="AO35" s="984">
        <v>0</v>
      </c>
      <c r="AP35" s="971">
        <v>0</v>
      </c>
      <c r="AQ35" s="972">
        <v>0</v>
      </c>
      <c r="AR35" s="973">
        <v>0</v>
      </c>
      <c r="AS35" s="974">
        <v>0</v>
      </c>
      <c r="AT35" s="975" t="s">
        <v>135</v>
      </c>
      <c r="AU35" s="976">
        <v>0</v>
      </c>
      <c r="AV35" s="977">
        <v>0</v>
      </c>
      <c r="AW35" s="986">
        <v>0</v>
      </c>
      <c r="AX35" s="987">
        <v>0</v>
      </c>
    </row>
    <row r="36" spans="1:50" ht="17.25">
      <c r="A36" s="623" t="s">
        <v>671</v>
      </c>
      <c r="B36" s="690">
        <v>1000000</v>
      </c>
      <c r="C36" s="624" t="s">
        <v>672</v>
      </c>
      <c r="D36" s="690">
        <v>2200000</v>
      </c>
      <c r="E36" s="623" t="s">
        <v>673</v>
      </c>
      <c r="F36" s="690">
        <v>731000</v>
      </c>
      <c r="G36" s="689" t="s">
        <v>708</v>
      </c>
      <c r="H36" s="690">
        <v>0</v>
      </c>
      <c r="I36" s="1219">
        <v>12</v>
      </c>
      <c r="J36" s="1228"/>
      <c r="K36" s="41"/>
      <c r="L36" s="11"/>
      <c r="M36" s="11"/>
      <c r="N36" s="11"/>
      <c r="O36" s="11" t="s">
        <v>60</v>
      </c>
      <c r="P36" s="12">
        <v>16800000</v>
      </c>
      <c r="Q36" s="12">
        <v>16800000</v>
      </c>
      <c r="R36" s="12"/>
      <c r="S36" s="165"/>
      <c r="T36" s="41"/>
      <c r="U36" s="11"/>
      <c r="V36" s="11"/>
      <c r="W36" s="11"/>
      <c r="X36" s="11" t="s">
        <v>135</v>
      </c>
      <c r="Y36" s="12" t="s">
        <v>135</v>
      </c>
      <c r="Z36" s="12"/>
      <c r="AA36" s="12"/>
      <c r="AB36" s="165"/>
      <c r="AC36" s="41"/>
      <c r="AD36" s="11"/>
      <c r="AE36" s="11"/>
      <c r="AF36" s="11"/>
      <c r="AG36" s="44" t="s">
        <v>135</v>
      </c>
      <c r="AH36" s="199" t="s">
        <v>135</v>
      </c>
      <c r="AI36" s="199"/>
      <c r="AJ36" s="199"/>
      <c r="AL36" s="981" t="s">
        <v>135</v>
      </c>
      <c r="AM36" s="982" t="s">
        <v>135</v>
      </c>
      <c r="AN36" s="983">
        <v>0</v>
      </c>
      <c r="AO36" s="984">
        <v>0</v>
      </c>
      <c r="AP36" s="971">
        <v>0</v>
      </c>
      <c r="AQ36" s="972">
        <v>0</v>
      </c>
      <c r="AR36" s="973">
        <v>0</v>
      </c>
      <c r="AS36" s="974">
        <v>0</v>
      </c>
      <c r="AT36" s="975" t="s">
        <v>135</v>
      </c>
      <c r="AU36" s="976">
        <v>0</v>
      </c>
      <c r="AV36" s="977">
        <v>0</v>
      </c>
      <c r="AW36" s="986">
        <v>0</v>
      </c>
      <c r="AX36" s="987">
        <v>0</v>
      </c>
    </row>
    <row r="37" spans="1:50" ht="17.25">
      <c r="A37" s="689" t="s">
        <v>708</v>
      </c>
      <c r="B37" s="690">
        <v>0</v>
      </c>
      <c r="C37" s="689" t="s">
        <v>708</v>
      </c>
      <c r="D37" s="690">
        <v>0</v>
      </c>
      <c r="E37" s="689" t="s">
        <v>708</v>
      </c>
      <c r="F37" s="690">
        <v>0</v>
      </c>
      <c r="G37" s="689" t="s">
        <v>708</v>
      </c>
      <c r="H37" s="690">
        <v>0</v>
      </c>
      <c r="I37" s="1219">
        <v>12</v>
      </c>
      <c r="J37" s="1228"/>
      <c r="K37" s="40"/>
      <c r="L37" s="9"/>
      <c r="M37" s="9"/>
      <c r="N37" s="9"/>
      <c r="O37" s="43" t="s">
        <v>61</v>
      </c>
      <c r="P37" s="198">
        <v>165735662</v>
      </c>
      <c r="Q37" s="198">
        <v>165735662</v>
      </c>
      <c r="R37" s="198"/>
      <c r="S37" s="165"/>
      <c r="T37" s="40"/>
      <c r="U37" s="9"/>
      <c r="V37" s="9"/>
      <c r="W37" s="9"/>
      <c r="X37" s="9" t="s">
        <v>135</v>
      </c>
      <c r="Y37" s="10" t="s">
        <v>135</v>
      </c>
      <c r="Z37" s="10"/>
      <c r="AA37" s="10"/>
      <c r="AB37" s="165"/>
      <c r="AC37" s="40"/>
      <c r="AD37" s="9"/>
      <c r="AE37" s="9"/>
      <c r="AF37" s="9"/>
      <c r="AG37" s="9" t="s">
        <v>135</v>
      </c>
      <c r="AH37" s="10" t="s">
        <v>135</v>
      </c>
      <c r="AI37" s="10"/>
      <c r="AJ37" s="10"/>
      <c r="AL37" s="981" t="s">
        <v>135</v>
      </c>
      <c r="AM37" s="982" t="s">
        <v>135</v>
      </c>
      <c r="AN37" s="983">
        <v>0</v>
      </c>
      <c r="AO37" s="984">
        <v>0</v>
      </c>
      <c r="AP37" s="971">
        <v>0</v>
      </c>
      <c r="AQ37" s="972">
        <v>0</v>
      </c>
      <c r="AR37" s="973">
        <v>0</v>
      </c>
      <c r="AS37" s="974">
        <v>0</v>
      </c>
      <c r="AT37" s="975" t="s">
        <v>135</v>
      </c>
      <c r="AU37" s="976">
        <v>0</v>
      </c>
      <c r="AV37" s="977">
        <v>0</v>
      </c>
      <c r="AW37" s="986">
        <v>0</v>
      </c>
      <c r="AX37" s="987">
        <v>0</v>
      </c>
    </row>
    <row r="38" spans="1:50" ht="17.25">
      <c r="A38" s="689" t="s">
        <v>708</v>
      </c>
      <c r="B38" s="690">
        <v>0</v>
      </c>
      <c r="C38" s="689" t="s">
        <v>708</v>
      </c>
      <c r="D38" s="690">
        <v>0</v>
      </c>
      <c r="E38" s="689" t="s">
        <v>708</v>
      </c>
      <c r="F38" s="690">
        <v>0</v>
      </c>
      <c r="G38" s="689" t="s">
        <v>708</v>
      </c>
      <c r="H38" s="690">
        <v>0</v>
      </c>
      <c r="I38" s="1219">
        <v>12</v>
      </c>
      <c r="J38" s="1228"/>
      <c r="K38" s="41"/>
      <c r="L38" s="11"/>
      <c r="M38" s="11"/>
      <c r="N38" s="11"/>
      <c r="O38" s="11" t="s">
        <v>62</v>
      </c>
      <c r="P38" s="12">
        <v>24000000</v>
      </c>
      <c r="Q38" s="12">
        <v>24000000</v>
      </c>
      <c r="R38" s="12"/>
      <c r="S38" s="165"/>
      <c r="T38" s="41"/>
      <c r="U38" s="11"/>
      <c r="V38" s="11"/>
      <c r="W38" s="11"/>
      <c r="X38" s="44" t="s">
        <v>135</v>
      </c>
      <c r="Y38" s="199" t="s">
        <v>135</v>
      </c>
      <c r="Z38" s="199"/>
      <c r="AA38" s="199"/>
      <c r="AB38" s="165"/>
      <c r="AC38" s="41"/>
      <c r="AD38" s="11"/>
      <c r="AE38" s="11"/>
      <c r="AF38" s="11"/>
      <c r="AG38" s="44" t="s">
        <v>135</v>
      </c>
      <c r="AH38" s="199" t="s">
        <v>135</v>
      </c>
      <c r="AI38" s="199"/>
      <c r="AJ38" s="199"/>
      <c r="AL38" s="981" t="s">
        <v>135</v>
      </c>
      <c r="AM38" s="982" t="s">
        <v>135</v>
      </c>
      <c r="AN38" s="983">
        <v>0</v>
      </c>
      <c r="AO38" s="984">
        <v>0</v>
      </c>
      <c r="AP38" s="971">
        <v>0</v>
      </c>
      <c r="AQ38" s="972">
        <v>0</v>
      </c>
      <c r="AR38" s="973">
        <v>0</v>
      </c>
      <c r="AS38" s="974">
        <v>0</v>
      </c>
      <c r="AT38" s="975" t="s">
        <v>135</v>
      </c>
      <c r="AU38" s="976">
        <v>0</v>
      </c>
      <c r="AV38" s="977">
        <v>0</v>
      </c>
      <c r="AW38" s="986">
        <v>0</v>
      </c>
      <c r="AX38" s="987">
        <v>0</v>
      </c>
    </row>
    <row r="39" spans="1:50" ht="18" thickBot="1">
      <c r="A39" s="689" t="s">
        <v>708</v>
      </c>
      <c r="B39" s="690">
        <v>0</v>
      </c>
      <c r="C39" s="689" t="s">
        <v>708</v>
      </c>
      <c r="D39" s="690">
        <v>0</v>
      </c>
      <c r="E39" s="689" t="s">
        <v>708</v>
      </c>
      <c r="F39" s="690">
        <v>0</v>
      </c>
      <c r="G39" s="689" t="s">
        <v>708</v>
      </c>
      <c r="H39" s="690">
        <v>0</v>
      </c>
      <c r="I39" s="1219">
        <v>12</v>
      </c>
      <c r="J39" s="1228"/>
      <c r="K39" s="40"/>
      <c r="L39" s="9"/>
      <c r="M39" s="9"/>
      <c r="N39" s="9"/>
      <c r="O39" s="43" t="s">
        <v>63</v>
      </c>
      <c r="P39" s="198">
        <v>44400000</v>
      </c>
      <c r="Q39" s="198">
        <v>44400000</v>
      </c>
      <c r="R39" s="198"/>
      <c r="S39" s="165"/>
      <c r="T39" s="40"/>
      <c r="U39" s="9"/>
      <c r="V39" s="9"/>
      <c r="W39" s="43"/>
      <c r="X39" s="9" t="s">
        <v>135</v>
      </c>
      <c r="Y39" s="198" t="s">
        <v>135</v>
      </c>
      <c r="Z39" s="198"/>
      <c r="AA39" s="198"/>
      <c r="AB39" s="165"/>
      <c r="AC39" s="40"/>
      <c r="AD39" s="9"/>
      <c r="AE39" s="9"/>
      <c r="AF39" s="9"/>
      <c r="AG39" s="9" t="s">
        <v>135</v>
      </c>
      <c r="AH39" s="10" t="s">
        <v>135</v>
      </c>
      <c r="AI39" s="10"/>
      <c r="AJ39" s="10"/>
      <c r="AL39" s="981" t="s">
        <v>135</v>
      </c>
      <c r="AM39" s="982" t="s">
        <v>135</v>
      </c>
      <c r="AN39" s="983">
        <v>0</v>
      </c>
      <c r="AO39" s="984">
        <v>0</v>
      </c>
      <c r="AP39" s="971">
        <v>0</v>
      </c>
      <c r="AQ39" s="972">
        <v>0</v>
      </c>
      <c r="AR39" s="973">
        <v>0</v>
      </c>
      <c r="AS39" s="974">
        <v>0</v>
      </c>
      <c r="AT39" s="975" t="s">
        <v>135</v>
      </c>
      <c r="AU39" s="976">
        <v>0</v>
      </c>
      <c r="AV39" s="977">
        <v>0</v>
      </c>
      <c r="AW39" s="986">
        <v>0</v>
      </c>
      <c r="AX39" s="987">
        <v>0</v>
      </c>
    </row>
    <row r="40" spans="1:50" ht="18" thickBot="1">
      <c r="A40" s="697" t="s">
        <v>57</v>
      </c>
      <c r="B40" s="706"/>
      <c r="C40" s="701" t="s">
        <v>674</v>
      </c>
      <c r="D40" s="701" t="s">
        <v>660</v>
      </c>
      <c r="E40" s="694" t="s">
        <v>59</v>
      </c>
      <c r="F40" s="706"/>
      <c r="G40" s="694" t="s">
        <v>62</v>
      </c>
      <c r="H40" s="706"/>
      <c r="I40" s="700" t="s">
        <v>660</v>
      </c>
      <c r="J40" s="1228"/>
      <c r="K40" s="41"/>
      <c r="L40" s="11"/>
      <c r="M40" s="11"/>
      <c r="N40" s="44"/>
      <c r="O40" s="11" t="s">
        <v>65</v>
      </c>
      <c r="P40" s="199">
        <v>13518000</v>
      </c>
      <c r="Q40" s="199">
        <v>13518000</v>
      </c>
      <c r="R40" s="199"/>
      <c r="S40" s="165"/>
      <c r="T40" s="41"/>
      <c r="U40" s="11"/>
      <c r="V40" s="44"/>
      <c r="W40" s="11"/>
      <c r="X40" s="11" t="s">
        <v>135</v>
      </c>
      <c r="Y40" s="199" t="s">
        <v>135</v>
      </c>
      <c r="Z40" s="199"/>
      <c r="AA40" s="199"/>
      <c r="AB40" s="165"/>
      <c r="AC40" s="41"/>
      <c r="AD40" s="11"/>
      <c r="AE40" s="11"/>
      <c r="AF40" s="11"/>
      <c r="AG40" s="44" t="s">
        <v>135</v>
      </c>
      <c r="AH40" s="199" t="s">
        <v>135</v>
      </c>
      <c r="AI40" s="199"/>
      <c r="AJ40" s="199"/>
      <c r="AL40" s="981" t="s">
        <v>135</v>
      </c>
      <c r="AM40" s="982" t="s">
        <v>135</v>
      </c>
      <c r="AN40" s="983">
        <v>0</v>
      </c>
      <c r="AO40" s="984">
        <v>0</v>
      </c>
      <c r="AP40" s="971">
        <v>0</v>
      </c>
      <c r="AQ40" s="972">
        <v>0</v>
      </c>
      <c r="AR40" s="973">
        <v>0</v>
      </c>
      <c r="AS40" s="974">
        <v>0</v>
      </c>
      <c r="AT40" s="975" t="s">
        <v>135</v>
      </c>
      <c r="AU40" s="976">
        <v>0</v>
      </c>
      <c r="AV40" s="977">
        <v>0</v>
      </c>
      <c r="AW40" s="986">
        <v>0</v>
      </c>
      <c r="AX40" s="987">
        <v>0</v>
      </c>
    </row>
    <row r="41" spans="1:50" ht="17.25">
      <c r="A41" s="625" t="s">
        <v>57</v>
      </c>
      <c r="B41" s="707"/>
      <c r="C41" s="708" t="s">
        <v>708</v>
      </c>
      <c r="D41" s="691">
        <v>12</v>
      </c>
      <c r="E41" s="3" t="s">
        <v>186</v>
      </c>
      <c r="F41" s="704"/>
      <c r="G41" s="395" t="s">
        <v>675</v>
      </c>
      <c r="H41" s="704"/>
      <c r="I41" s="1219">
        <v>12</v>
      </c>
      <c r="J41" s="1228"/>
      <c r="K41" s="40"/>
      <c r="L41" s="9"/>
      <c r="M41" s="43"/>
      <c r="N41" s="9"/>
      <c r="O41" s="9" t="s">
        <v>67</v>
      </c>
      <c r="P41" s="198">
        <v>161400000</v>
      </c>
      <c r="Q41" s="198">
        <v>161400000</v>
      </c>
      <c r="R41" s="198"/>
      <c r="S41" s="165"/>
      <c r="T41" s="40"/>
      <c r="U41" s="43"/>
      <c r="V41" s="9"/>
      <c r="W41" s="9"/>
      <c r="X41" s="9" t="s">
        <v>135</v>
      </c>
      <c r="Y41" s="198" t="s">
        <v>135</v>
      </c>
      <c r="Z41" s="198"/>
      <c r="AA41" s="198"/>
      <c r="AB41" s="165"/>
      <c r="AC41" s="40"/>
      <c r="AD41" s="9"/>
      <c r="AE41" s="9"/>
      <c r="AF41" s="43"/>
      <c r="AG41" s="9" t="s">
        <v>135</v>
      </c>
      <c r="AH41" s="198" t="s">
        <v>135</v>
      </c>
      <c r="AI41" s="198"/>
      <c r="AJ41" s="198"/>
      <c r="AL41" s="981" t="s">
        <v>135</v>
      </c>
      <c r="AM41" s="982" t="s">
        <v>135</v>
      </c>
      <c r="AN41" s="983">
        <v>0</v>
      </c>
      <c r="AO41" s="984">
        <v>0</v>
      </c>
      <c r="AP41" s="971">
        <v>0</v>
      </c>
      <c r="AQ41" s="972">
        <v>0</v>
      </c>
      <c r="AR41" s="973">
        <v>0</v>
      </c>
      <c r="AS41" s="974">
        <v>0</v>
      </c>
      <c r="AT41" s="975" t="s">
        <v>135</v>
      </c>
      <c r="AU41" s="976">
        <v>0</v>
      </c>
      <c r="AV41" s="977">
        <v>0</v>
      </c>
      <c r="AW41" s="986">
        <v>0</v>
      </c>
      <c r="AX41" s="987">
        <v>0</v>
      </c>
    </row>
    <row r="42" spans="1:50" ht="17.25">
      <c r="A42" s="623" t="s">
        <v>700</v>
      </c>
      <c r="B42" s="690">
        <v>50000</v>
      </c>
      <c r="C42" s="710">
        <v>27</v>
      </c>
      <c r="D42" s="691">
        <v>1</v>
      </c>
      <c r="E42" s="932" t="s">
        <v>708</v>
      </c>
      <c r="F42" s="690">
        <v>0</v>
      </c>
      <c r="G42" s="623" t="s">
        <v>676</v>
      </c>
      <c r="H42" s="690">
        <v>400000</v>
      </c>
      <c r="I42" s="1219">
        <v>12</v>
      </c>
      <c r="J42" s="1228"/>
      <c r="K42" s="41"/>
      <c r="L42" s="44"/>
      <c r="M42" s="11"/>
      <c r="N42" s="11"/>
      <c r="O42" s="11" t="s">
        <v>71</v>
      </c>
      <c r="P42" s="199">
        <v>5747977</v>
      </c>
      <c r="Q42" s="199">
        <v>5747977</v>
      </c>
      <c r="R42" s="199"/>
      <c r="S42" s="165"/>
      <c r="T42" s="41"/>
      <c r="U42" s="11"/>
      <c r="V42" s="11"/>
      <c r="W42" s="11"/>
      <c r="X42" s="11" t="s">
        <v>135</v>
      </c>
      <c r="Y42" s="12" t="s">
        <v>135</v>
      </c>
      <c r="Z42" s="12"/>
      <c r="AA42" s="12"/>
      <c r="AB42" s="165"/>
      <c r="AC42" s="41"/>
      <c r="AD42" s="11"/>
      <c r="AE42" s="44"/>
      <c r="AF42" s="11"/>
      <c r="AG42" s="11" t="s">
        <v>135</v>
      </c>
      <c r="AH42" s="199" t="s">
        <v>135</v>
      </c>
      <c r="AI42" s="199"/>
      <c r="AJ42" s="199"/>
      <c r="AL42" s="981" t="s">
        <v>135</v>
      </c>
      <c r="AM42" s="982" t="s">
        <v>135</v>
      </c>
      <c r="AN42" s="983">
        <v>0</v>
      </c>
      <c r="AO42" s="984">
        <v>0</v>
      </c>
      <c r="AP42" s="971">
        <v>0</v>
      </c>
      <c r="AQ42" s="972">
        <v>0</v>
      </c>
      <c r="AR42" s="973">
        <v>0</v>
      </c>
      <c r="AS42" s="974">
        <v>0</v>
      </c>
      <c r="AT42" s="975" t="s">
        <v>135</v>
      </c>
      <c r="AU42" s="976">
        <v>0</v>
      </c>
      <c r="AV42" s="977">
        <v>0</v>
      </c>
      <c r="AW42" s="986">
        <v>0</v>
      </c>
      <c r="AX42" s="987">
        <v>0</v>
      </c>
    </row>
    <row r="43" spans="1:50" ht="17.25">
      <c r="A43" s="623" t="s">
        <v>701</v>
      </c>
      <c r="B43" s="690">
        <v>50000</v>
      </c>
      <c r="C43" s="710">
        <v>27</v>
      </c>
      <c r="D43" s="691">
        <v>2</v>
      </c>
      <c r="E43" s="689" t="s">
        <v>708</v>
      </c>
      <c r="F43" s="690">
        <v>0</v>
      </c>
      <c r="G43" s="624" t="s">
        <v>677</v>
      </c>
      <c r="H43" s="690">
        <v>400000</v>
      </c>
      <c r="I43" s="1219">
        <v>12</v>
      </c>
      <c r="J43" s="1228"/>
      <c r="K43" s="40"/>
      <c r="L43" s="9"/>
      <c r="M43" s="9"/>
      <c r="N43" s="9"/>
      <c r="O43" s="9" t="s">
        <v>72</v>
      </c>
      <c r="P43" s="10">
        <v>0</v>
      </c>
      <c r="Q43" s="10">
        <v>0</v>
      </c>
      <c r="R43" s="10"/>
      <c r="S43" s="165"/>
      <c r="T43" s="40"/>
      <c r="U43" s="9"/>
      <c r="V43" s="9"/>
      <c r="W43" s="9"/>
      <c r="X43" s="9" t="s">
        <v>135</v>
      </c>
      <c r="Y43" s="10" t="s">
        <v>135</v>
      </c>
      <c r="Z43" s="10"/>
      <c r="AA43" s="10"/>
      <c r="AB43" s="165"/>
      <c r="AC43" s="40"/>
      <c r="AD43" s="9"/>
      <c r="AE43" s="9"/>
      <c r="AF43" s="9"/>
      <c r="AG43" s="9" t="s">
        <v>135</v>
      </c>
      <c r="AH43" s="10" t="s">
        <v>135</v>
      </c>
      <c r="AI43" s="10"/>
      <c r="AJ43" s="10"/>
      <c r="AL43" s="981" t="s">
        <v>135</v>
      </c>
      <c r="AM43" s="982" t="s">
        <v>135</v>
      </c>
      <c r="AN43" s="983">
        <v>0</v>
      </c>
      <c r="AO43" s="984">
        <v>0</v>
      </c>
      <c r="AP43" s="971">
        <v>0</v>
      </c>
      <c r="AQ43" s="972">
        <v>0</v>
      </c>
      <c r="AR43" s="973">
        <v>0</v>
      </c>
      <c r="AS43" s="974">
        <v>0</v>
      </c>
      <c r="AT43" s="975" t="s">
        <v>135</v>
      </c>
      <c r="AU43" s="976">
        <v>0</v>
      </c>
      <c r="AV43" s="977">
        <v>0</v>
      </c>
      <c r="AW43" s="986">
        <v>0</v>
      </c>
      <c r="AX43" s="987">
        <v>0</v>
      </c>
    </row>
    <row r="44" spans="1:50" ht="17.25">
      <c r="A44" s="623" t="s">
        <v>702</v>
      </c>
      <c r="B44" s="690">
        <v>50000</v>
      </c>
      <c r="C44" s="710" t="s">
        <v>708</v>
      </c>
      <c r="D44" s="691">
        <v>12</v>
      </c>
      <c r="E44" s="689" t="s">
        <v>708</v>
      </c>
      <c r="F44" s="690">
        <v>0</v>
      </c>
      <c r="G44" s="689" t="s">
        <v>708</v>
      </c>
      <c r="H44" s="690">
        <v>0</v>
      </c>
      <c r="I44" s="1219">
        <v>12</v>
      </c>
      <c r="J44" s="1228"/>
      <c r="K44" s="41"/>
      <c r="L44" s="11"/>
      <c r="M44" s="11"/>
      <c r="N44" s="11"/>
      <c r="O44" s="11" t="s">
        <v>135</v>
      </c>
      <c r="P44" s="12" t="s">
        <v>135</v>
      </c>
      <c r="Q44" s="12" t="s">
        <v>135</v>
      </c>
      <c r="R44" s="12"/>
      <c r="S44" s="165"/>
      <c r="T44" s="41"/>
      <c r="U44" s="11"/>
      <c r="V44" s="11"/>
      <c r="W44" s="11"/>
      <c r="X44" s="44" t="s">
        <v>61</v>
      </c>
      <c r="Y44" s="199">
        <v>56400000</v>
      </c>
      <c r="Z44" s="199"/>
      <c r="AA44" s="199"/>
      <c r="AB44" s="165"/>
      <c r="AC44" s="41"/>
      <c r="AD44" s="11"/>
      <c r="AE44" s="11"/>
      <c r="AF44" s="11"/>
      <c r="AG44" s="44" t="s">
        <v>135</v>
      </c>
      <c r="AH44" s="199" t="s">
        <v>135</v>
      </c>
      <c r="AI44" s="199"/>
      <c r="AJ44" s="199"/>
      <c r="AL44" s="981" t="s">
        <v>135</v>
      </c>
      <c r="AM44" s="982" t="s">
        <v>135</v>
      </c>
      <c r="AN44" s="983">
        <v>0</v>
      </c>
      <c r="AO44" s="984">
        <v>0</v>
      </c>
      <c r="AP44" s="971">
        <v>0</v>
      </c>
      <c r="AQ44" s="972">
        <v>0</v>
      </c>
      <c r="AR44" s="973">
        <v>0</v>
      </c>
      <c r="AS44" s="974">
        <v>0</v>
      </c>
      <c r="AT44" s="975" t="s">
        <v>135</v>
      </c>
      <c r="AU44" s="976">
        <v>0</v>
      </c>
      <c r="AV44" s="977">
        <v>0</v>
      </c>
      <c r="AW44" s="986">
        <v>0</v>
      </c>
      <c r="AX44" s="987">
        <v>0</v>
      </c>
    </row>
    <row r="45" spans="1:50" ht="17.25">
      <c r="A45" s="623" t="s">
        <v>703</v>
      </c>
      <c r="B45" s="690">
        <v>100000</v>
      </c>
      <c r="C45" s="710" t="s">
        <v>708</v>
      </c>
      <c r="D45" s="691">
        <v>12</v>
      </c>
      <c r="E45" s="689" t="s">
        <v>708</v>
      </c>
      <c r="F45" s="690">
        <v>0</v>
      </c>
      <c r="G45" s="689" t="s">
        <v>708</v>
      </c>
      <c r="H45" s="690">
        <v>0</v>
      </c>
      <c r="I45" s="1219">
        <v>12</v>
      </c>
      <c r="J45" s="1228"/>
      <c r="K45" s="40"/>
      <c r="L45" s="9"/>
      <c r="M45" s="9"/>
      <c r="N45" s="9"/>
      <c r="O45" s="43" t="s">
        <v>135</v>
      </c>
      <c r="P45" s="198" t="s">
        <v>135</v>
      </c>
      <c r="Q45" s="198" t="s">
        <v>135</v>
      </c>
      <c r="R45" s="198"/>
      <c r="S45" s="165"/>
      <c r="T45" s="40"/>
      <c r="U45" s="9"/>
      <c r="V45" s="9"/>
      <c r="W45" s="9"/>
      <c r="X45" s="9" t="s">
        <v>73</v>
      </c>
      <c r="Y45" s="10">
        <v>10267</v>
      </c>
      <c r="Z45" s="10"/>
      <c r="AA45" s="10"/>
      <c r="AB45" s="165"/>
      <c r="AC45" s="40"/>
      <c r="AD45" s="9"/>
      <c r="AE45" s="9"/>
      <c r="AF45" s="43"/>
      <c r="AG45" s="9" t="s">
        <v>135</v>
      </c>
      <c r="AH45" s="198" t="s">
        <v>135</v>
      </c>
      <c r="AI45" s="198"/>
      <c r="AJ45" s="198"/>
      <c r="AL45" s="981" t="s">
        <v>135</v>
      </c>
      <c r="AM45" s="982" t="s">
        <v>135</v>
      </c>
      <c r="AN45" s="983">
        <v>0</v>
      </c>
      <c r="AO45" s="984">
        <v>0</v>
      </c>
      <c r="AP45" s="971">
        <v>0</v>
      </c>
      <c r="AQ45" s="972">
        <v>0</v>
      </c>
      <c r="AR45" s="973">
        <v>0</v>
      </c>
      <c r="AS45" s="974">
        <v>0</v>
      </c>
      <c r="AT45" s="975" t="s">
        <v>135</v>
      </c>
      <c r="AU45" s="976">
        <v>0</v>
      </c>
      <c r="AV45" s="977">
        <v>0</v>
      </c>
      <c r="AW45" s="986">
        <v>0</v>
      </c>
      <c r="AX45" s="987">
        <v>0</v>
      </c>
    </row>
    <row r="46" spans="1:50" ht="17.25">
      <c r="A46" s="623" t="s">
        <v>864</v>
      </c>
      <c r="B46" s="690">
        <v>50000</v>
      </c>
      <c r="C46" s="710">
        <v>27</v>
      </c>
      <c r="D46" s="691">
        <v>12</v>
      </c>
      <c r="E46" s="689" t="s">
        <v>708</v>
      </c>
      <c r="F46" s="690">
        <v>0</v>
      </c>
      <c r="G46" s="689" t="s">
        <v>708</v>
      </c>
      <c r="H46" s="690">
        <v>0</v>
      </c>
      <c r="I46" s="1219">
        <v>12</v>
      </c>
      <c r="J46" s="1228"/>
      <c r="K46" s="41"/>
      <c r="L46" s="11"/>
      <c r="M46" s="11"/>
      <c r="N46" s="11"/>
      <c r="O46" s="11" t="s">
        <v>135</v>
      </c>
      <c r="P46" s="12" t="s">
        <v>135</v>
      </c>
      <c r="Q46" s="12" t="s">
        <v>135</v>
      </c>
      <c r="R46" s="12"/>
      <c r="S46" s="165"/>
      <c r="T46" s="41"/>
      <c r="U46" s="11"/>
      <c r="V46" s="11"/>
      <c r="W46" s="11"/>
      <c r="X46" s="11" t="s">
        <v>135</v>
      </c>
      <c r="Y46" s="12" t="s">
        <v>135</v>
      </c>
      <c r="Z46" s="12"/>
      <c r="AA46" s="12"/>
      <c r="AB46" s="165"/>
      <c r="AC46" s="41"/>
      <c r="AD46" s="11"/>
      <c r="AE46" s="44"/>
      <c r="AF46" s="11"/>
      <c r="AG46" s="11" t="s">
        <v>135</v>
      </c>
      <c r="AH46" s="199" t="s">
        <v>135</v>
      </c>
      <c r="AI46" s="199"/>
      <c r="AJ46" s="199"/>
      <c r="AL46" s="981" t="s">
        <v>135</v>
      </c>
      <c r="AM46" s="982" t="s">
        <v>135</v>
      </c>
      <c r="AN46" s="983">
        <v>0</v>
      </c>
      <c r="AO46" s="984">
        <v>0</v>
      </c>
      <c r="AP46" s="971">
        <v>0</v>
      </c>
      <c r="AQ46" s="972">
        <v>0</v>
      </c>
      <c r="AR46" s="973">
        <v>0</v>
      </c>
      <c r="AS46" s="974">
        <v>0</v>
      </c>
      <c r="AT46" s="975" t="s">
        <v>135</v>
      </c>
      <c r="AU46" s="976">
        <v>0</v>
      </c>
      <c r="AV46" s="977">
        <v>0</v>
      </c>
      <c r="AW46" s="986">
        <v>0</v>
      </c>
      <c r="AX46" s="987">
        <v>0</v>
      </c>
    </row>
    <row r="47" spans="1:50" ht="17.25">
      <c r="A47" s="623" t="s">
        <v>708</v>
      </c>
      <c r="B47" s="690">
        <v>0</v>
      </c>
      <c r="C47" s="710" t="s">
        <v>708</v>
      </c>
      <c r="D47" s="691">
        <v>12</v>
      </c>
      <c r="E47" s="689" t="s">
        <v>708</v>
      </c>
      <c r="F47" s="690">
        <v>0</v>
      </c>
      <c r="G47" s="689" t="s">
        <v>708</v>
      </c>
      <c r="H47" s="690">
        <v>0</v>
      </c>
      <c r="I47" s="1219">
        <v>12</v>
      </c>
      <c r="J47" s="1228"/>
      <c r="K47" s="40"/>
      <c r="L47" s="9"/>
      <c r="M47" s="9"/>
      <c r="N47" s="9"/>
      <c r="O47" s="9" t="s">
        <v>135</v>
      </c>
      <c r="P47" s="10" t="s">
        <v>135</v>
      </c>
      <c r="Q47" s="10" t="s">
        <v>135</v>
      </c>
      <c r="R47" s="10"/>
      <c r="S47" s="165"/>
      <c r="T47" s="40"/>
      <c r="U47" s="9"/>
      <c r="V47" s="9"/>
      <c r="W47" s="9"/>
      <c r="X47" s="43" t="s">
        <v>135</v>
      </c>
      <c r="Y47" s="198" t="s">
        <v>135</v>
      </c>
      <c r="Z47" s="198"/>
      <c r="AA47" s="198"/>
      <c r="AB47" s="165"/>
      <c r="AC47" s="40"/>
      <c r="AD47" s="9"/>
      <c r="AE47" s="9"/>
      <c r="AF47" s="9"/>
      <c r="AG47" s="9" t="s">
        <v>135</v>
      </c>
      <c r="AH47" s="10" t="s">
        <v>135</v>
      </c>
      <c r="AI47" s="10"/>
      <c r="AJ47" s="10"/>
      <c r="AL47" s="981" t="s">
        <v>135</v>
      </c>
      <c r="AM47" s="982" t="s">
        <v>135</v>
      </c>
      <c r="AN47" s="983">
        <v>0</v>
      </c>
      <c r="AO47" s="984">
        <v>0</v>
      </c>
      <c r="AP47" s="971">
        <v>0</v>
      </c>
      <c r="AQ47" s="972">
        <v>0</v>
      </c>
      <c r="AR47" s="973">
        <v>0</v>
      </c>
      <c r="AS47" s="974">
        <v>0</v>
      </c>
      <c r="AT47" s="975" t="s">
        <v>135</v>
      </c>
      <c r="AU47" s="976">
        <v>0</v>
      </c>
      <c r="AV47" s="977">
        <v>0</v>
      </c>
      <c r="AW47" s="986">
        <v>0</v>
      </c>
      <c r="AX47" s="987">
        <v>0</v>
      </c>
    </row>
    <row r="48" spans="1:50" ht="17.25">
      <c r="A48" s="689" t="s">
        <v>708</v>
      </c>
      <c r="B48" s="709">
        <v>0</v>
      </c>
      <c r="C48" s="710" t="s">
        <v>708</v>
      </c>
      <c r="D48" s="691">
        <v>12</v>
      </c>
      <c r="E48" s="689" t="s">
        <v>708</v>
      </c>
      <c r="F48" s="690">
        <v>0</v>
      </c>
      <c r="G48" s="689" t="s">
        <v>708</v>
      </c>
      <c r="H48" s="690">
        <v>0</v>
      </c>
      <c r="I48" s="1219">
        <v>12</v>
      </c>
      <c r="J48" s="1228"/>
      <c r="K48" s="41"/>
      <c r="L48" s="11"/>
      <c r="M48" s="11"/>
      <c r="N48" s="11"/>
      <c r="O48" s="44" t="s">
        <v>135</v>
      </c>
      <c r="P48" s="199" t="s">
        <v>135</v>
      </c>
      <c r="Q48" s="199" t="s">
        <v>135</v>
      </c>
      <c r="R48" s="199"/>
      <c r="S48" s="165"/>
      <c r="T48" s="41"/>
      <c r="U48" s="11"/>
      <c r="V48" s="11"/>
      <c r="W48" s="11"/>
      <c r="X48" s="11" t="s">
        <v>135</v>
      </c>
      <c r="Y48" s="12" t="s">
        <v>135</v>
      </c>
      <c r="Z48" s="12"/>
      <c r="AA48" s="12"/>
      <c r="AB48" s="165"/>
      <c r="AC48" s="41"/>
      <c r="AD48" s="11"/>
      <c r="AE48" s="11"/>
      <c r="AF48" s="11"/>
      <c r="AG48" s="44" t="s">
        <v>135</v>
      </c>
      <c r="AH48" s="199" t="s">
        <v>135</v>
      </c>
      <c r="AI48" s="199"/>
      <c r="AJ48" s="199"/>
      <c r="AL48" s="981" t="s">
        <v>135</v>
      </c>
      <c r="AM48" s="982" t="s">
        <v>135</v>
      </c>
      <c r="AN48" s="983">
        <v>0</v>
      </c>
      <c r="AO48" s="984">
        <v>0</v>
      </c>
      <c r="AP48" s="971">
        <v>0</v>
      </c>
      <c r="AQ48" s="972">
        <v>0</v>
      </c>
      <c r="AR48" s="973">
        <v>0</v>
      </c>
      <c r="AS48" s="974">
        <v>0</v>
      </c>
      <c r="AT48" s="975" t="s">
        <v>135</v>
      </c>
      <c r="AU48" s="976">
        <v>0</v>
      </c>
      <c r="AV48" s="977">
        <v>0</v>
      </c>
      <c r="AW48" s="986">
        <v>0</v>
      </c>
      <c r="AX48" s="987">
        <v>0</v>
      </c>
    </row>
    <row r="49" spans="1:50" ht="17.25">
      <c r="A49" s="689" t="s">
        <v>708</v>
      </c>
      <c r="B49" s="709">
        <v>0</v>
      </c>
      <c r="C49" s="710" t="s">
        <v>708</v>
      </c>
      <c r="D49" s="691">
        <v>12</v>
      </c>
      <c r="E49" s="689" t="s">
        <v>708</v>
      </c>
      <c r="F49" s="690">
        <v>0</v>
      </c>
      <c r="G49" s="689" t="s">
        <v>708</v>
      </c>
      <c r="H49" s="690">
        <v>0</v>
      </c>
      <c r="I49" s="1219">
        <v>12</v>
      </c>
      <c r="J49" s="1228"/>
      <c r="K49" s="40"/>
      <c r="L49" s="9"/>
      <c r="M49" s="9"/>
      <c r="N49" s="9"/>
      <c r="O49" s="9" t="s">
        <v>135</v>
      </c>
      <c r="P49" s="10" t="s">
        <v>135</v>
      </c>
      <c r="Q49" s="10" t="s">
        <v>135</v>
      </c>
      <c r="R49" s="10"/>
      <c r="S49" s="165"/>
      <c r="T49" s="40"/>
      <c r="U49" s="9"/>
      <c r="V49" s="9"/>
      <c r="W49" s="9"/>
      <c r="X49" s="9" t="s">
        <v>135</v>
      </c>
      <c r="Y49" s="10" t="s">
        <v>135</v>
      </c>
      <c r="Z49" s="10"/>
      <c r="AA49" s="10"/>
      <c r="AB49" s="165"/>
      <c r="AC49" s="40"/>
      <c r="AD49" s="9"/>
      <c r="AE49" s="9"/>
      <c r="AF49" s="9"/>
      <c r="AG49" s="9" t="s">
        <v>135</v>
      </c>
      <c r="AH49" s="10" t="s">
        <v>135</v>
      </c>
      <c r="AI49" s="10"/>
      <c r="AJ49" s="10"/>
      <c r="AL49" s="981" t="s">
        <v>135</v>
      </c>
      <c r="AM49" s="982" t="s">
        <v>135</v>
      </c>
      <c r="AN49" s="983">
        <v>0</v>
      </c>
      <c r="AO49" s="984">
        <v>0</v>
      </c>
      <c r="AP49" s="971">
        <v>0</v>
      </c>
      <c r="AQ49" s="972">
        <v>0</v>
      </c>
      <c r="AR49" s="973">
        <v>0</v>
      </c>
      <c r="AS49" s="974">
        <v>0</v>
      </c>
      <c r="AT49" s="975" t="s">
        <v>135</v>
      </c>
      <c r="AU49" s="976">
        <v>0</v>
      </c>
      <c r="AV49" s="977">
        <v>0</v>
      </c>
      <c r="AW49" s="986">
        <v>0</v>
      </c>
      <c r="AX49" s="987">
        <v>0</v>
      </c>
    </row>
    <row r="50" spans="1:50" ht="18" thickBot="1">
      <c r="A50" s="689" t="s">
        <v>708</v>
      </c>
      <c r="B50" s="709">
        <v>0</v>
      </c>
      <c r="C50" s="710" t="s">
        <v>708</v>
      </c>
      <c r="D50" s="691">
        <v>12</v>
      </c>
      <c r="E50" s="689" t="s">
        <v>708</v>
      </c>
      <c r="F50" s="690">
        <v>0</v>
      </c>
      <c r="G50" s="689" t="s">
        <v>708</v>
      </c>
      <c r="H50" s="690">
        <v>0</v>
      </c>
      <c r="I50" s="1219">
        <v>12</v>
      </c>
      <c r="J50" s="1228"/>
      <c r="K50" s="41"/>
      <c r="L50" s="11"/>
      <c r="M50" s="11"/>
      <c r="N50" s="11"/>
      <c r="O50" s="11" t="s">
        <v>135</v>
      </c>
      <c r="P50" s="12" t="s">
        <v>135</v>
      </c>
      <c r="Q50" s="12" t="s">
        <v>135</v>
      </c>
      <c r="R50" s="12"/>
      <c r="S50" s="165"/>
      <c r="T50" s="41"/>
      <c r="U50" s="11"/>
      <c r="V50" s="11"/>
      <c r="W50" s="11"/>
      <c r="X50" s="44" t="s">
        <v>135</v>
      </c>
      <c r="Y50" s="199" t="s">
        <v>135</v>
      </c>
      <c r="Z50" s="199"/>
      <c r="AA50" s="199"/>
      <c r="AB50" s="165"/>
      <c r="AC50" s="41"/>
      <c r="AD50" s="11"/>
      <c r="AE50" s="11"/>
      <c r="AF50" s="11"/>
      <c r="AG50" s="44" t="s">
        <v>135</v>
      </c>
      <c r="AH50" s="199" t="s">
        <v>135</v>
      </c>
      <c r="AI50" s="199"/>
      <c r="AJ50" s="199"/>
      <c r="AL50" s="981" t="s">
        <v>135</v>
      </c>
      <c r="AM50" s="982" t="s">
        <v>135</v>
      </c>
      <c r="AN50" s="983">
        <v>0</v>
      </c>
      <c r="AO50" s="984">
        <v>0</v>
      </c>
      <c r="AP50" s="971">
        <v>0</v>
      </c>
      <c r="AQ50" s="972">
        <v>0</v>
      </c>
      <c r="AR50" s="973">
        <v>0</v>
      </c>
      <c r="AS50" s="974">
        <v>0</v>
      </c>
      <c r="AT50" s="975" t="s">
        <v>135</v>
      </c>
      <c r="AU50" s="976">
        <v>0</v>
      </c>
      <c r="AV50" s="977">
        <v>0</v>
      </c>
      <c r="AW50" s="986">
        <v>0</v>
      </c>
      <c r="AX50" s="987">
        <v>0</v>
      </c>
    </row>
    <row r="51" spans="1:50" ht="18" thickBot="1">
      <c r="A51" s="697" t="s">
        <v>678</v>
      </c>
      <c r="B51" s="706"/>
      <c r="C51" s="701" t="s">
        <v>674</v>
      </c>
      <c r="D51" s="701" t="s">
        <v>660</v>
      </c>
      <c r="E51" s="694" t="s">
        <v>63</v>
      </c>
      <c r="F51" s="693"/>
      <c r="G51" s="694" t="s">
        <v>71</v>
      </c>
      <c r="H51" s="693"/>
      <c r="I51" s="700" t="s">
        <v>660</v>
      </c>
      <c r="J51" s="1228"/>
      <c r="K51" s="40"/>
      <c r="L51" s="9"/>
      <c r="M51" s="9"/>
      <c r="N51" s="9"/>
      <c r="O51" s="43" t="s">
        <v>135</v>
      </c>
      <c r="P51" s="198" t="s">
        <v>135</v>
      </c>
      <c r="Q51" s="198" t="s">
        <v>135</v>
      </c>
      <c r="R51" s="198"/>
      <c r="S51" s="165"/>
      <c r="T51" s="40"/>
      <c r="U51" s="9"/>
      <c r="V51" s="9"/>
      <c r="W51" s="43"/>
      <c r="X51" s="9" t="s">
        <v>135</v>
      </c>
      <c r="Y51" s="198" t="s">
        <v>135</v>
      </c>
      <c r="Z51" s="198"/>
      <c r="AA51" s="198"/>
      <c r="AB51" s="165"/>
      <c r="AC51" s="40"/>
      <c r="AD51" s="9"/>
      <c r="AE51" s="9"/>
      <c r="AF51" s="9"/>
      <c r="AG51" s="9" t="s">
        <v>135</v>
      </c>
      <c r="AH51" s="10" t="s">
        <v>135</v>
      </c>
      <c r="AI51" s="10"/>
      <c r="AJ51" s="10"/>
      <c r="AL51" s="981" t="s">
        <v>135</v>
      </c>
      <c r="AM51" s="982" t="s">
        <v>135</v>
      </c>
      <c r="AN51" s="983">
        <v>0</v>
      </c>
      <c r="AO51" s="984">
        <v>0</v>
      </c>
      <c r="AP51" s="971">
        <v>0</v>
      </c>
      <c r="AQ51" s="972">
        <v>0</v>
      </c>
      <c r="AR51" s="973">
        <v>0</v>
      </c>
      <c r="AS51" s="974">
        <v>0</v>
      </c>
      <c r="AT51" s="975" t="s">
        <v>135</v>
      </c>
      <c r="AU51" s="976">
        <v>0</v>
      </c>
      <c r="AV51" s="977">
        <v>0</v>
      </c>
      <c r="AW51" s="986">
        <v>0</v>
      </c>
      <c r="AX51" s="987">
        <v>0</v>
      </c>
    </row>
    <row r="52" spans="1:50" ht="17.25">
      <c r="A52" s="917" t="s">
        <v>709</v>
      </c>
      <c r="B52" s="936"/>
      <c r="C52" s="710" t="s">
        <v>708</v>
      </c>
      <c r="D52" s="691">
        <v>12</v>
      </c>
      <c r="E52" s="623" t="s">
        <v>727</v>
      </c>
      <c r="F52" s="704"/>
      <c r="G52" s="395" t="s">
        <v>71</v>
      </c>
      <c r="H52" s="704"/>
      <c r="I52" s="1223"/>
      <c r="J52" s="1228"/>
      <c r="K52" s="41"/>
      <c r="L52" s="11"/>
      <c r="M52" s="11"/>
      <c r="N52" s="44"/>
      <c r="O52" s="11" t="s">
        <v>135</v>
      </c>
      <c r="P52" s="199" t="s">
        <v>135</v>
      </c>
      <c r="Q52" s="199" t="s">
        <v>135</v>
      </c>
      <c r="R52" s="199"/>
      <c r="S52" s="165"/>
      <c r="T52" s="41"/>
      <c r="U52" s="11"/>
      <c r="V52" s="11"/>
      <c r="W52" s="11"/>
      <c r="X52" s="11" t="s">
        <v>135</v>
      </c>
      <c r="Y52" s="12" t="s">
        <v>135</v>
      </c>
      <c r="Z52" s="12"/>
      <c r="AA52" s="12"/>
      <c r="AB52" s="165"/>
      <c r="AC52" s="41"/>
      <c r="AD52" s="11"/>
      <c r="AE52" s="11"/>
      <c r="AF52" s="11"/>
      <c r="AG52" s="44" t="s">
        <v>135</v>
      </c>
      <c r="AH52" s="199" t="s">
        <v>135</v>
      </c>
      <c r="AI52" s="199"/>
      <c r="AJ52" s="199"/>
      <c r="AL52" s="981" t="s">
        <v>135</v>
      </c>
      <c r="AM52" s="982" t="s">
        <v>135</v>
      </c>
      <c r="AN52" s="983">
        <v>0</v>
      </c>
      <c r="AO52" s="984">
        <v>0</v>
      </c>
      <c r="AP52" s="971">
        <v>0</v>
      </c>
      <c r="AQ52" s="972">
        <v>0</v>
      </c>
      <c r="AR52" s="973">
        <v>0</v>
      </c>
      <c r="AS52" s="974">
        <v>0</v>
      </c>
      <c r="AT52" s="975" t="s">
        <v>135</v>
      </c>
      <c r="AU52" s="976">
        <v>0</v>
      </c>
      <c r="AV52" s="977">
        <v>0</v>
      </c>
      <c r="AW52" s="986">
        <v>0</v>
      </c>
      <c r="AX52" s="987">
        <v>0</v>
      </c>
    </row>
    <row r="53" spans="1:50" ht="17.25">
      <c r="A53" s="917" t="s">
        <v>710</v>
      </c>
      <c r="B53" s="709">
        <v>240000</v>
      </c>
      <c r="C53" s="710" t="s">
        <v>708</v>
      </c>
      <c r="D53" s="691">
        <v>12</v>
      </c>
      <c r="E53" s="394" t="s">
        <v>726</v>
      </c>
      <c r="F53" s="690">
        <v>2000000</v>
      </c>
      <c r="G53" s="687" t="s">
        <v>724</v>
      </c>
      <c r="H53" s="690">
        <v>150000</v>
      </c>
      <c r="I53" s="1219">
        <v>12</v>
      </c>
      <c r="J53" s="1228"/>
      <c r="K53" s="40"/>
      <c r="L53" s="9"/>
      <c r="M53" s="9"/>
      <c r="N53" s="9"/>
      <c r="O53" s="9" t="s">
        <v>135</v>
      </c>
      <c r="P53" s="10" t="s">
        <v>135</v>
      </c>
      <c r="Q53" s="10" t="s">
        <v>135</v>
      </c>
      <c r="R53" s="10"/>
      <c r="S53" s="165"/>
      <c r="T53" s="40"/>
      <c r="U53" s="9"/>
      <c r="V53" s="9"/>
      <c r="W53" s="9"/>
      <c r="X53" s="43" t="s">
        <v>135</v>
      </c>
      <c r="Y53" s="198" t="s">
        <v>135</v>
      </c>
      <c r="Z53" s="198"/>
      <c r="AA53" s="198"/>
      <c r="AB53" s="165"/>
      <c r="AC53" s="40"/>
      <c r="AD53" s="9"/>
      <c r="AE53" s="9"/>
      <c r="AF53" s="43"/>
      <c r="AG53" s="9" t="s">
        <v>135</v>
      </c>
      <c r="AH53" s="198" t="s">
        <v>135</v>
      </c>
      <c r="AI53" s="198"/>
      <c r="AJ53" s="198"/>
      <c r="AL53" s="981" t="s">
        <v>135</v>
      </c>
      <c r="AM53" s="982" t="s">
        <v>135</v>
      </c>
      <c r="AN53" s="983">
        <v>0</v>
      </c>
      <c r="AO53" s="997">
        <v>0</v>
      </c>
      <c r="AP53" s="971">
        <v>0</v>
      </c>
      <c r="AQ53" s="972">
        <v>0</v>
      </c>
      <c r="AR53" s="973">
        <v>0</v>
      </c>
      <c r="AS53" s="974">
        <v>0</v>
      </c>
      <c r="AT53" s="975" t="s">
        <v>135</v>
      </c>
      <c r="AU53" s="976">
        <v>0</v>
      </c>
      <c r="AV53" s="977">
        <v>0</v>
      </c>
      <c r="AW53" s="986">
        <v>0</v>
      </c>
      <c r="AX53" s="987">
        <v>0</v>
      </c>
    </row>
    <row r="54" spans="1:50" ht="17.25">
      <c r="A54" s="917" t="s">
        <v>711</v>
      </c>
      <c r="B54" s="709">
        <v>240000</v>
      </c>
      <c r="C54" s="710" t="s">
        <v>708</v>
      </c>
      <c r="D54" s="691">
        <v>12</v>
      </c>
      <c r="E54" s="623" t="s">
        <v>679</v>
      </c>
      <c r="F54" s="690">
        <v>1000000</v>
      </c>
      <c r="G54" s="687" t="s">
        <v>865</v>
      </c>
      <c r="H54" s="690">
        <v>300000</v>
      </c>
      <c r="I54" s="1219">
        <v>12</v>
      </c>
      <c r="J54" s="1228"/>
      <c r="K54" s="41"/>
      <c r="L54" s="11"/>
      <c r="M54" s="11"/>
      <c r="N54" s="11"/>
      <c r="O54" s="44" t="s">
        <v>135</v>
      </c>
      <c r="P54" s="199" t="s">
        <v>135</v>
      </c>
      <c r="Q54" s="199" t="s">
        <v>135</v>
      </c>
      <c r="R54" s="199"/>
      <c r="S54" s="165"/>
      <c r="T54" s="41"/>
      <c r="U54" s="11"/>
      <c r="V54" s="11"/>
      <c r="W54" s="44"/>
      <c r="X54" s="11" t="s">
        <v>135</v>
      </c>
      <c r="Y54" s="199" t="s">
        <v>135</v>
      </c>
      <c r="Z54" s="199"/>
      <c r="AA54" s="199"/>
      <c r="AB54" s="165"/>
      <c r="AC54" s="41"/>
      <c r="AD54" s="11"/>
      <c r="AE54" s="11"/>
      <c r="AF54" s="11"/>
      <c r="AG54" s="11" t="s">
        <v>135</v>
      </c>
      <c r="AH54" s="12" t="s">
        <v>135</v>
      </c>
      <c r="AI54" s="12"/>
      <c r="AJ54" s="12"/>
      <c r="AL54" s="981" t="s">
        <v>135</v>
      </c>
      <c r="AM54" s="982" t="s">
        <v>135</v>
      </c>
      <c r="AN54" s="983">
        <v>0</v>
      </c>
      <c r="AO54" s="984">
        <v>0</v>
      </c>
      <c r="AP54" s="971">
        <v>0</v>
      </c>
      <c r="AQ54" s="972">
        <v>0</v>
      </c>
      <c r="AR54" s="973">
        <v>0</v>
      </c>
      <c r="AS54" s="974">
        <v>0</v>
      </c>
      <c r="AT54" s="975" t="s">
        <v>135</v>
      </c>
      <c r="AU54" s="976">
        <v>0</v>
      </c>
      <c r="AV54" s="977">
        <v>0</v>
      </c>
      <c r="AW54" s="986">
        <v>0</v>
      </c>
      <c r="AX54" s="987">
        <v>0</v>
      </c>
    </row>
    <row r="55" spans="1:50" ht="17.25">
      <c r="A55" s="932" t="s">
        <v>866</v>
      </c>
      <c r="B55" s="709">
        <v>5000</v>
      </c>
      <c r="C55" s="710">
        <v>45</v>
      </c>
      <c r="D55" s="691">
        <v>2</v>
      </c>
      <c r="E55" s="689" t="s">
        <v>708</v>
      </c>
      <c r="F55" s="690">
        <v>0</v>
      </c>
      <c r="G55" s="689" t="s">
        <v>708</v>
      </c>
      <c r="H55" s="690">
        <v>0</v>
      </c>
      <c r="I55" s="1219">
        <v>12</v>
      </c>
      <c r="J55" s="1228"/>
      <c r="K55" s="40"/>
      <c r="L55" s="9"/>
      <c r="M55" s="9"/>
      <c r="N55" s="9"/>
      <c r="O55" s="9" t="s">
        <v>135</v>
      </c>
      <c r="P55" s="10" t="s">
        <v>135</v>
      </c>
      <c r="Q55" s="10" t="s">
        <v>135</v>
      </c>
      <c r="R55" s="10"/>
      <c r="S55" s="165"/>
      <c r="T55" s="40"/>
      <c r="U55" s="9"/>
      <c r="V55" s="9"/>
      <c r="W55" s="9"/>
      <c r="X55" s="9" t="s">
        <v>135</v>
      </c>
      <c r="Y55" s="10" t="s">
        <v>135</v>
      </c>
      <c r="Z55" s="10"/>
      <c r="AA55" s="10"/>
      <c r="AB55" s="165"/>
      <c r="AC55" s="40"/>
      <c r="AD55" s="9"/>
      <c r="AE55" s="9"/>
      <c r="AF55" s="9"/>
      <c r="AG55" s="43" t="s">
        <v>135</v>
      </c>
      <c r="AH55" s="198" t="s">
        <v>135</v>
      </c>
      <c r="AI55" s="198"/>
      <c r="AJ55" s="198"/>
      <c r="AL55" s="981" t="s">
        <v>135</v>
      </c>
      <c r="AM55" s="982" t="s">
        <v>135</v>
      </c>
      <c r="AN55" s="983">
        <v>0</v>
      </c>
      <c r="AO55" s="984">
        <v>0</v>
      </c>
      <c r="AP55" s="971">
        <v>0</v>
      </c>
      <c r="AQ55" s="972">
        <v>0</v>
      </c>
      <c r="AR55" s="973">
        <v>0</v>
      </c>
      <c r="AS55" s="974">
        <v>0</v>
      </c>
      <c r="AT55" s="975" t="s">
        <v>135</v>
      </c>
      <c r="AU55" s="976">
        <v>0</v>
      </c>
      <c r="AV55" s="977">
        <v>0</v>
      </c>
      <c r="AW55" s="986">
        <v>0</v>
      </c>
      <c r="AX55" s="987">
        <v>0</v>
      </c>
    </row>
    <row r="56" spans="1:50" ht="17.25">
      <c r="A56" s="932" t="s">
        <v>867</v>
      </c>
      <c r="B56" s="709">
        <v>300000</v>
      </c>
      <c r="C56" s="710" t="s">
        <v>708</v>
      </c>
      <c r="D56" s="691">
        <v>12</v>
      </c>
      <c r="E56" s="689" t="s">
        <v>708</v>
      </c>
      <c r="F56" s="690">
        <v>0</v>
      </c>
      <c r="G56" s="689" t="s">
        <v>708</v>
      </c>
      <c r="H56" s="690">
        <v>0</v>
      </c>
      <c r="I56" s="1219">
        <v>12</v>
      </c>
      <c r="J56" s="1228"/>
      <c r="K56" s="41"/>
      <c r="L56" s="11"/>
      <c r="M56" s="11"/>
      <c r="N56" s="11"/>
      <c r="O56" s="44" t="s">
        <v>135</v>
      </c>
      <c r="P56" s="199" t="s">
        <v>135</v>
      </c>
      <c r="Q56" s="199" t="s">
        <v>135</v>
      </c>
      <c r="R56" s="199"/>
      <c r="S56" s="165"/>
      <c r="T56" s="41"/>
      <c r="U56" s="11"/>
      <c r="V56" s="11"/>
      <c r="W56" s="11"/>
      <c r="X56" s="44" t="s">
        <v>135</v>
      </c>
      <c r="Y56" s="199" t="s">
        <v>135</v>
      </c>
      <c r="Z56" s="199"/>
      <c r="AA56" s="199"/>
      <c r="AB56" s="165"/>
      <c r="AC56" s="41"/>
      <c r="AD56" s="11"/>
      <c r="AE56" s="11"/>
      <c r="AF56" s="44"/>
      <c r="AG56" s="11" t="s">
        <v>135</v>
      </c>
      <c r="AH56" s="199" t="s">
        <v>135</v>
      </c>
      <c r="AI56" s="199"/>
      <c r="AJ56" s="199"/>
      <c r="AL56" s="981" t="s">
        <v>135</v>
      </c>
      <c r="AM56" s="982" t="s">
        <v>135</v>
      </c>
      <c r="AN56" s="983">
        <v>0</v>
      </c>
      <c r="AO56" s="984">
        <v>0</v>
      </c>
      <c r="AP56" s="971">
        <v>0</v>
      </c>
      <c r="AQ56" s="972">
        <v>0</v>
      </c>
      <c r="AR56" s="973">
        <v>0</v>
      </c>
      <c r="AS56" s="974">
        <v>0</v>
      </c>
      <c r="AT56" s="975" t="s">
        <v>135</v>
      </c>
      <c r="AU56" s="976">
        <v>0</v>
      </c>
      <c r="AV56" s="977">
        <v>0</v>
      </c>
      <c r="AW56" s="986">
        <v>0</v>
      </c>
      <c r="AX56" s="987">
        <v>0</v>
      </c>
    </row>
    <row r="57" spans="1:50" ht="17.25">
      <c r="A57" s="689" t="s">
        <v>708</v>
      </c>
      <c r="B57" s="709">
        <v>0</v>
      </c>
      <c r="C57" s="710" t="s">
        <v>708</v>
      </c>
      <c r="D57" s="691">
        <v>12</v>
      </c>
      <c r="E57" s="689" t="s">
        <v>708</v>
      </c>
      <c r="F57" s="690">
        <v>0</v>
      </c>
      <c r="G57" s="689" t="s">
        <v>708</v>
      </c>
      <c r="H57" s="690">
        <v>0</v>
      </c>
      <c r="I57" s="1219">
        <v>12</v>
      </c>
      <c r="J57" s="1228"/>
      <c r="K57" s="40"/>
      <c r="L57" s="9"/>
      <c r="M57" s="9"/>
      <c r="N57" s="43"/>
      <c r="O57" s="9" t="s">
        <v>135</v>
      </c>
      <c r="P57" s="198" t="s">
        <v>135</v>
      </c>
      <c r="Q57" s="198" t="s">
        <v>135</v>
      </c>
      <c r="R57" s="198"/>
      <c r="S57" s="165"/>
      <c r="T57" s="40"/>
      <c r="U57" s="9"/>
      <c r="V57" s="9"/>
      <c r="W57" s="9"/>
      <c r="X57" s="9" t="s">
        <v>135</v>
      </c>
      <c r="Y57" s="10" t="s">
        <v>135</v>
      </c>
      <c r="Z57" s="10"/>
      <c r="AA57" s="10"/>
      <c r="AB57" s="165"/>
      <c r="AC57" s="40"/>
      <c r="AD57" s="9"/>
      <c r="AE57" s="43"/>
      <c r="AF57" s="9"/>
      <c r="AG57" s="9" t="s">
        <v>135</v>
      </c>
      <c r="AH57" s="198" t="s">
        <v>135</v>
      </c>
      <c r="AI57" s="198"/>
      <c r="AJ57" s="198"/>
      <c r="AL57" s="981" t="s">
        <v>135</v>
      </c>
      <c r="AM57" s="982" t="s">
        <v>135</v>
      </c>
      <c r="AN57" s="983">
        <v>0</v>
      </c>
      <c r="AO57" s="984">
        <v>0</v>
      </c>
      <c r="AP57" s="971">
        <v>0</v>
      </c>
      <c r="AQ57" s="972">
        <v>0</v>
      </c>
      <c r="AR57" s="973">
        <v>0</v>
      </c>
      <c r="AS57" s="974">
        <v>0</v>
      </c>
      <c r="AT57" s="975" t="s">
        <v>135</v>
      </c>
      <c r="AU57" s="976">
        <v>0</v>
      </c>
      <c r="AV57" s="977">
        <v>0</v>
      </c>
      <c r="AW57" s="986">
        <v>0</v>
      </c>
      <c r="AX57" s="987">
        <v>0</v>
      </c>
    </row>
    <row r="58" spans="1:50" ht="17.25">
      <c r="A58" s="689" t="s">
        <v>708</v>
      </c>
      <c r="B58" s="709">
        <v>0</v>
      </c>
      <c r="C58" s="710" t="s">
        <v>708</v>
      </c>
      <c r="D58" s="691">
        <v>12</v>
      </c>
      <c r="E58" s="689" t="s">
        <v>708</v>
      </c>
      <c r="F58" s="690">
        <v>0</v>
      </c>
      <c r="G58" s="689" t="s">
        <v>708</v>
      </c>
      <c r="H58" s="690">
        <v>0</v>
      </c>
      <c r="I58" s="1219">
        <v>12</v>
      </c>
      <c r="J58" s="1228"/>
      <c r="K58" s="41"/>
      <c r="L58" s="11"/>
      <c r="M58" s="11"/>
      <c r="N58" s="11"/>
      <c r="O58" s="11" t="s">
        <v>135</v>
      </c>
      <c r="P58" s="12" t="s">
        <v>135</v>
      </c>
      <c r="Q58" s="12" t="s">
        <v>135</v>
      </c>
      <c r="R58" s="12"/>
      <c r="S58" s="165"/>
      <c r="T58" s="41"/>
      <c r="U58" s="11"/>
      <c r="V58" s="11"/>
      <c r="W58" s="11"/>
      <c r="X58" s="44" t="s">
        <v>135</v>
      </c>
      <c r="Y58" s="199" t="s">
        <v>135</v>
      </c>
      <c r="Z58" s="199"/>
      <c r="AA58" s="199"/>
      <c r="AB58" s="165"/>
      <c r="AC58" s="41"/>
      <c r="AD58" s="44"/>
      <c r="AE58" s="11"/>
      <c r="AF58" s="11"/>
      <c r="AG58" s="11" t="s">
        <v>135</v>
      </c>
      <c r="AH58" s="199" t="s">
        <v>135</v>
      </c>
      <c r="AI58" s="199"/>
      <c r="AJ58" s="199"/>
      <c r="AL58" s="981" t="s">
        <v>135</v>
      </c>
      <c r="AM58" s="982" t="s">
        <v>135</v>
      </c>
      <c r="AN58" s="983">
        <v>0</v>
      </c>
      <c r="AO58" s="984">
        <v>0</v>
      </c>
      <c r="AP58" s="971">
        <v>0</v>
      </c>
      <c r="AQ58" s="972">
        <v>0</v>
      </c>
      <c r="AR58" s="973">
        <v>0</v>
      </c>
      <c r="AS58" s="974">
        <v>0</v>
      </c>
      <c r="AT58" s="975" t="s">
        <v>135</v>
      </c>
      <c r="AU58" s="976">
        <v>0</v>
      </c>
      <c r="AV58" s="977">
        <v>0</v>
      </c>
      <c r="AW58" s="986">
        <v>0</v>
      </c>
      <c r="AX58" s="987">
        <v>0</v>
      </c>
    </row>
    <row r="59" spans="1:50" ht="17.25">
      <c r="A59" s="689" t="s">
        <v>708</v>
      </c>
      <c r="B59" s="709">
        <v>0</v>
      </c>
      <c r="C59" s="710" t="s">
        <v>708</v>
      </c>
      <c r="D59" s="691">
        <v>12</v>
      </c>
      <c r="E59" s="689" t="s">
        <v>708</v>
      </c>
      <c r="F59" s="690">
        <v>0</v>
      </c>
      <c r="G59" s="689" t="s">
        <v>708</v>
      </c>
      <c r="H59" s="690">
        <v>0</v>
      </c>
      <c r="I59" s="1219">
        <v>12</v>
      </c>
      <c r="J59" s="1228"/>
      <c r="K59" s="40"/>
      <c r="L59" s="9"/>
      <c r="M59" s="9"/>
      <c r="N59" s="9"/>
      <c r="O59" s="43" t="s">
        <v>135</v>
      </c>
      <c r="P59" s="198" t="s">
        <v>135</v>
      </c>
      <c r="Q59" s="198" t="s">
        <v>135</v>
      </c>
      <c r="R59" s="198"/>
      <c r="S59" s="165"/>
      <c r="T59" s="40"/>
      <c r="U59" s="9"/>
      <c r="V59" s="9"/>
      <c r="W59" s="9"/>
      <c r="X59" s="9" t="s">
        <v>135</v>
      </c>
      <c r="Y59" s="10" t="s">
        <v>135</v>
      </c>
      <c r="Z59" s="10"/>
      <c r="AA59" s="10"/>
      <c r="AB59" s="165"/>
      <c r="AC59" s="40"/>
      <c r="AD59" s="9"/>
      <c r="AE59" s="9"/>
      <c r="AF59" s="9"/>
      <c r="AG59" s="9" t="s">
        <v>135</v>
      </c>
      <c r="AH59" s="10" t="s">
        <v>135</v>
      </c>
      <c r="AI59" s="10"/>
      <c r="AJ59" s="10"/>
      <c r="AL59" s="981" t="s">
        <v>135</v>
      </c>
      <c r="AM59" s="982" t="s">
        <v>135</v>
      </c>
      <c r="AN59" s="983">
        <v>0</v>
      </c>
      <c r="AO59" s="984">
        <v>0</v>
      </c>
      <c r="AP59" s="971">
        <v>0</v>
      </c>
      <c r="AQ59" s="972">
        <v>0</v>
      </c>
      <c r="AR59" s="973">
        <v>0</v>
      </c>
      <c r="AS59" s="974">
        <v>0</v>
      </c>
      <c r="AT59" s="975" t="s">
        <v>135</v>
      </c>
      <c r="AU59" s="976">
        <v>0</v>
      </c>
      <c r="AV59" s="977">
        <v>0</v>
      </c>
      <c r="AW59" s="986">
        <v>0</v>
      </c>
      <c r="AX59" s="987">
        <v>0</v>
      </c>
    </row>
    <row r="60" spans="1:50" ht="18" thickBot="1">
      <c r="A60" s="689" t="s">
        <v>708</v>
      </c>
      <c r="B60" s="709">
        <v>0</v>
      </c>
      <c r="C60" s="710" t="s">
        <v>708</v>
      </c>
      <c r="D60" s="691">
        <v>12</v>
      </c>
      <c r="E60" s="689" t="s">
        <v>708</v>
      </c>
      <c r="F60" s="690">
        <v>0</v>
      </c>
      <c r="G60" s="689" t="s">
        <v>708</v>
      </c>
      <c r="H60" s="690">
        <v>0</v>
      </c>
      <c r="I60" s="1219">
        <v>12</v>
      </c>
      <c r="J60" s="1228"/>
      <c r="K60" s="41"/>
      <c r="L60" s="11"/>
      <c r="M60" s="11"/>
      <c r="N60" s="11"/>
      <c r="O60" s="11" t="s">
        <v>135</v>
      </c>
      <c r="P60" s="12" t="s">
        <v>135</v>
      </c>
      <c r="Q60" s="12" t="s">
        <v>135</v>
      </c>
      <c r="R60" s="12"/>
      <c r="S60" s="165"/>
      <c r="T60" s="41"/>
      <c r="U60" s="11"/>
      <c r="V60" s="11"/>
      <c r="W60" s="11"/>
      <c r="X60" s="44" t="s">
        <v>135</v>
      </c>
      <c r="Y60" s="199" t="s">
        <v>135</v>
      </c>
      <c r="Z60" s="199"/>
      <c r="AA60" s="199"/>
      <c r="AB60" s="165"/>
      <c r="AC60" s="41"/>
      <c r="AD60" s="11"/>
      <c r="AE60" s="11"/>
      <c r="AF60" s="11"/>
      <c r="AG60" s="44" t="s">
        <v>135</v>
      </c>
      <c r="AH60" s="199" t="s">
        <v>135</v>
      </c>
      <c r="AI60" s="199"/>
      <c r="AJ60" s="199"/>
      <c r="AL60" s="998" t="s">
        <v>135</v>
      </c>
      <c r="AM60" s="999" t="s">
        <v>135</v>
      </c>
      <c r="AN60" s="1000">
        <v>0</v>
      </c>
      <c r="AO60" s="997">
        <v>0</v>
      </c>
      <c r="AP60" s="971">
        <v>0</v>
      </c>
      <c r="AQ60" s="1001">
        <v>0</v>
      </c>
      <c r="AR60" s="1002">
        <v>0</v>
      </c>
      <c r="AS60" s="1003">
        <v>0</v>
      </c>
      <c r="AT60" s="1004" t="s">
        <v>135</v>
      </c>
      <c r="AU60" s="1005">
        <v>0</v>
      </c>
      <c r="AV60" s="1006">
        <v>0</v>
      </c>
      <c r="AW60" s="1007">
        <v>0</v>
      </c>
      <c r="AX60" s="1008">
        <v>0</v>
      </c>
    </row>
    <row r="61" spans="1:50" ht="18.75" thickTop="1" thickBot="1">
      <c r="A61" s="689" t="s">
        <v>708</v>
      </c>
      <c r="B61" s="709">
        <v>0</v>
      </c>
      <c r="C61" s="710" t="s">
        <v>708</v>
      </c>
      <c r="D61" s="691">
        <v>12</v>
      </c>
      <c r="E61" s="689" t="s">
        <v>708</v>
      </c>
      <c r="F61" s="690">
        <v>0</v>
      </c>
      <c r="G61" s="689" t="s">
        <v>708</v>
      </c>
      <c r="H61" s="690">
        <v>0</v>
      </c>
      <c r="I61" s="1219">
        <v>12</v>
      </c>
      <c r="J61" s="1228"/>
      <c r="K61" s="40"/>
      <c r="L61" s="9"/>
      <c r="M61" s="9"/>
      <c r="N61" s="9"/>
      <c r="O61" s="43" t="s">
        <v>135</v>
      </c>
      <c r="P61" s="198" t="s">
        <v>135</v>
      </c>
      <c r="Q61" s="198" t="s">
        <v>135</v>
      </c>
      <c r="R61" s="198"/>
      <c r="S61" s="165"/>
      <c r="T61" s="40"/>
      <c r="U61" s="9"/>
      <c r="V61" s="9"/>
      <c r="W61" s="9"/>
      <c r="X61" s="9" t="s">
        <v>135</v>
      </c>
      <c r="Y61" s="10" t="s">
        <v>135</v>
      </c>
      <c r="Z61" s="10"/>
      <c r="AA61" s="10"/>
      <c r="AB61" s="165"/>
      <c r="AC61" s="40"/>
      <c r="AD61" s="9"/>
      <c r="AE61" s="9"/>
      <c r="AF61" s="9"/>
      <c r="AG61" s="9" t="s">
        <v>135</v>
      </c>
      <c r="AH61" s="10" t="s">
        <v>135</v>
      </c>
      <c r="AI61" s="10"/>
      <c r="AJ61" s="10"/>
      <c r="AL61" s="1090" t="s">
        <v>868</v>
      </c>
      <c r="AM61" s="1091"/>
      <c r="AN61" s="1009">
        <v>6900000</v>
      </c>
      <c r="AO61" s="1009">
        <v>0</v>
      </c>
      <c r="AP61" s="1010">
        <v>6900000</v>
      </c>
      <c r="AQ61" s="1011">
        <v>0</v>
      </c>
      <c r="AR61" s="1012">
        <v>0</v>
      </c>
      <c r="AS61" s="1012">
        <v>722020</v>
      </c>
      <c r="AT61" s="1010">
        <v>7622020</v>
      </c>
      <c r="AU61" s="1013">
        <v>6900000</v>
      </c>
      <c r="AV61" s="1013">
        <v>6900000</v>
      </c>
      <c r="AW61" s="1014"/>
      <c r="AX61" s="1014"/>
    </row>
    <row r="62" spans="1:50" ht="25.5" thickTop="1" thickBot="1">
      <c r="A62" s="712"/>
      <c r="B62" s="695"/>
      <c r="C62" s="695"/>
      <c r="D62" s="695"/>
      <c r="E62" s="695"/>
      <c r="F62" s="696"/>
      <c r="G62" s="345" t="s">
        <v>16</v>
      </c>
      <c r="H62" s="748"/>
      <c r="I62" s="1220" t="s">
        <v>660</v>
      </c>
      <c r="J62" s="1228"/>
      <c r="K62" s="41"/>
      <c r="L62" s="11"/>
      <c r="M62" s="11"/>
      <c r="N62" s="11"/>
      <c r="O62" s="11" t="s">
        <v>135</v>
      </c>
      <c r="P62" s="12" t="s">
        <v>135</v>
      </c>
      <c r="Q62" s="12" t="s">
        <v>135</v>
      </c>
      <c r="R62" s="12"/>
      <c r="S62" s="165"/>
      <c r="T62" s="41"/>
      <c r="U62" s="11"/>
      <c r="V62" s="11"/>
      <c r="W62" s="11"/>
      <c r="X62" s="44" t="s">
        <v>135</v>
      </c>
      <c r="Y62" s="199" t="s">
        <v>135</v>
      </c>
      <c r="Z62" s="199"/>
      <c r="AA62" s="199"/>
      <c r="AB62" s="165"/>
      <c r="AC62" s="41"/>
      <c r="AD62" s="11"/>
      <c r="AE62" s="11"/>
      <c r="AF62" s="11"/>
      <c r="AG62" s="44" t="s">
        <v>135</v>
      </c>
      <c r="AH62" s="199" t="s">
        <v>135</v>
      </c>
      <c r="AI62" s="199"/>
      <c r="AJ62" s="199"/>
      <c r="AL62" s="1015" t="s">
        <v>454</v>
      </c>
      <c r="AM62" s="1016" t="s">
        <v>869</v>
      </c>
      <c r="AN62" s="1016" t="s">
        <v>250</v>
      </c>
      <c r="AO62" s="1017" t="s">
        <v>431</v>
      </c>
      <c r="AP62" s="1018" t="s">
        <v>854</v>
      </c>
      <c r="AQ62" s="1019" t="s">
        <v>432</v>
      </c>
      <c r="AR62" s="1016" t="s">
        <v>457</v>
      </c>
      <c r="AS62" s="1017" t="s">
        <v>458</v>
      </c>
      <c r="AT62" s="1018" t="s">
        <v>855</v>
      </c>
      <c r="AU62" s="1018" t="s">
        <v>856</v>
      </c>
      <c r="AV62" s="1018" t="s">
        <v>857</v>
      </c>
      <c r="AW62" s="1020" t="s">
        <v>858</v>
      </c>
      <c r="AX62" s="1021" t="s">
        <v>859</v>
      </c>
    </row>
    <row r="63" spans="1:50" ht="18.75" thickTop="1" thickBot="1">
      <c r="A63" s="716" t="s">
        <v>681</v>
      </c>
      <c r="B63" s="717"/>
      <c r="C63" s="717"/>
      <c r="D63" s="717"/>
      <c r="E63" s="717"/>
      <c r="F63" s="718"/>
      <c r="G63" s="914" t="s">
        <v>16</v>
      </c>
      <c r="H63" s="1130"/>
      <c r="I63" s="1224"/>
      <c r="J63" s="1228"/>
      <c r="K63" s="40"/>
      <c r="L63" s="9"/>
      <c r="M63" s="9"/>
      <c r="N63" s="9"/>
      <c r="O63" s="43" t="s">
        <v>135</v>
      </c>
      <c r="P63" s="198" t="s">
        <v>135</v>
      </c>
      <c r="Q63" s="198" t="s">
        <v>135</v>
      </c>
      <c r="R63" s="198"/>
      <c r="S63" s="165"/>
      <c r="T63" s="40"/>
      <c r="U63" s="9"/>
      <c r="V63" s="9"/>
      <c r="W63" s="43"/>
      <c r="X63" s="9" t="s">
        <v>135</v>
      </c>
      <c r="Y63" s="198" t="s">
        <v>135</v>
      </c>
      <c r="Z63" s="198"/>
      <c r="AA63" s="198"/>
      <c r="AB63" s="165"/>
      <c r="AC63" s="40"/>
      <c r="AD63" s="9"/>
      <c r="AE63" s="9"/>
      <c r="AF63" s="43"/>
      <c r="AG63" s="9" t="s">
        <v>135</v>
      </c>
      <c r="AH63" s="198" t="s">
        <v>135</v>
      </c>
      <c r="AI63" s="198"/>
      <c r="AJ63" s="198"/>
      <c r="AL63" s="1023" t="s">
        <v>870</v>
      </c>
      <c r="AM63" s="1024" t="s">
        <v>732</v>
      </c>
      <c r="AN63" s="1025">
        <v>2300000</v>
      </c>
      <c r="AO63" s="1026">
        <v>0</v>
      </c>
      <c r="AP63" s="1027">
        <v>2300000</v>
      </c>
      <c r="AQ63" s="1028">
        <v>0</v>
      </c>
      <c r="AR63" s="1029">
        <v>249167</v>
      </c>
      <c r="AS63" s="1030">
        <v>312880</v>
      </c>
      <c r="AT63" s="1031">
        <v>2862047</v>
      </c>
      <c r="AU63" s="1032">
        <v>2300000</v>
      </c>
      <c r="AV63" s="1032">
        <v>2990000</v>
      </c>
      <c r="AW63" s="1033">
        <v>249167</v>
      </c>
      <c r="AX63" s="1034">
        <v>249167</v>
      </c>
    </row>
    <row r="64" spans="1:50" ht="18" thickBot="1">
      <c r="A64" s="694" t="s">
        <v>13</v>
      </c>
      <c r="B64" s="693"/>
      <c r="C64" s="694" t="s">
        <v>15</v>
      </c>
      <c r="D64" s="693"/>
      <c r="E64" s="694" t="s">
        <v>17</v>
      </c>
      <c r="F64" s="693"/>
      <c r="G64" s="1129" t="s">
        <v>765</v>
      </c>
      <c r="H64" s="1131"/>
      <c r="I64" s="1225"/>
      <c r="J64" s="1228"/>
      <c r="K64" s="41"/>
      <c r="L64" s="11"/>
      <c r="M64" s="11"/>
      <c r="N64" s="44"/>
      <c r="O64" s="11" t="s">
        <v>135</v>
      </c>
      <c r="P64" s="199" t="s">
        <v>135</v>
      </c>
      <c r="Q64" s="199" t="s">
        <v>135</v>
      </c>
      <c r="R64" s="199"/>
      <c r="S64" s="165"/>
      <c r="T64" s="41"/>
      <c r="U64" s="11"/>
      <c r="V64" s="44"/>
      <c r="W64" s="11"/>
      <c r="X64" s="11" t="s">
        <v>135</v>
      </c>
      <c r="Y64" s="199" t="s">
        <v>135</v>
      </c>
      <c r="Z64" s="199"/>
      <c r="AA64" s="199"/>
      <c r="AB64" s="165"/>
      <c r="AC64" s="41"/>
      <c r="AD64" s="11"/>
      <c r="AE64" s="44"/>
      <c r="AF64" s="11"/>
      <c r="AG64" s="11" t="s">
        <v>135</v>
      </c>
      <c r="AH64" s="199" t="s">
        <v>135</v>
      </c>
      <c r="AI64" s="199"/>
      <c r="AJ64" s="199"/>
      <c r="AL64" s="1035" t="s">
        <v>871</v>
      </c>
      <c r="AM64" s="1036" t="s">
        <v>782</v>
      </c>
      <c r="AN64" s="1037">
        <v>2760000</v>
      </c>
      <c r="AO64" s="1038">
        <v>0</v>
      </c>
      <c r="AP64" s="971">
        <v>2760000</v>
      </c>
      <c r="AQ64" s="1039">
        <v>0</v>
      </c>
      <c r="AR64" s="973">
        <v>299000</v>
      </c>
      <c r="AS64" s="974">
        <v>375450</v>
      </c>
      <c r="AT64" s="975">
        <v>3434450</v>
      </c>
      <c r="AU64" s="976">
        <v>2760348</v>
      </c>
      <c r="AV64" s="977">
        <v>3588000</v>
      </c>
      <c r="AW64" s="1040">
        <v>299000</v>
      </c>
      <c r="AX64" s="987">
        <v>299000</v>
      </c>
    </row>
    <row r="65" spans="1:50" ht="17.25">
      <c r="A65" s="686" t="s">
        <v>13</v>
      </c>
      <c r="B65" s="719"/>
      <c r="C65" s="686" t="s">
        <v>15</v>
      </c>
      <c r="D65" s="719"/>
      <c r="E65" s="686" t="s">
        <v>17</v>
      </c>
      <c r="F65" s="719"/>
      <c r="G65" s="1129" t="s">
        <v>766</v>
      </c>
      <c r="H65" s="1131"/>
      <c r="I65" s="1225"/>
      <c r="J65" s="1228"/>
      <c r="K65" s="40"/>
      <c r="L65" s="9"/>
      <c r="M65" s="43"/>
      <c r="N65" s="9"/>
      <c r="O65" s="9" t="s">
        <v>135</v>
      </c>
      <c r="P65" s="198" t="s">
        <v>135</v>
      </c>
      <c r="Q65" s="198" t="s">
        <v>135</v>
      </c>
      <c r="R65" s="198"/>
      <c r="S65" s="165"/>
      <c r="T65" s="40"/>
      <c r="U65" s="9"/>
      <c r="V65" s="9"/>
      <c r="W65" s="9"/>
      <c r="X65" s="9" t="s">
        <v>135</v>
      </c>
      <c r="Y65" s="10" t="s">
        <v>135</v>
      </c>
      <c r="Z65" s="10"/>
      <c r="AA65" s="10"/>
      <c r="AB65" s="165"/>
      <c r="AC65" s="40"/>
      <c r="AD65" s="9"/>
      <c r="AE65" s="9"/>
      <c r="AF65" s="9"/>
      <c r="AG65" s="9" t="s">
        <v>135</v>
      </c>
      <c r="AH65" s="10" t="s">
        <v>135</v>
      </c>
      <c r="AI65" s="10"/>
      <c r="AJ65" s="10"/>
      <c r="AL65" s="1035" t="s">
        <v>872</v>
      </c>
      <c r="AM65" s="1036" t="s">
        <v>782</v>
      </c>
      <c r="AN65" s="1037">
        <v>2480000</v>
      </c>
      <c r="AO65" s="1041">
        <v>0</v>
      </c>
      <c r="AP65" s="971">
        <v>2480000</v>
      </c>
      <c r="AQ65" s="985">
        <v>0</v>
      </c>
      <c r="AR65" s="973">
        <v>268667</v>
      </c>
      <c r="AS65" s="974">
        <v>337360</v>
      </c>
      <c r="AT65" s="975">
        <v>3086027</v>
      </c>
      <c r="AU65" s="976">
        <v>2480000</v>
      </c>
      <c r="AV65" s="977">
        <v>3224000</v>
      </c>
      <c r="AW65" s="1040">
        <v>268667</v>
      </c>
      <c r="AX65" s="987">
        <v>268667</v>
      </c>
    </row>
    <row r="66" spans="1:50" ht="17.25">
      <c r="A66" s="723" t="s">
        <v>708</v>
      </c>
      <c r="B66" s="724">
        <v>0</v>
      </c>
      <c r="C66" s="723" t="s">
        <v>708</v>
      </c>
      <c r="D66" s="724">
        <v>0</v>
      </c>
      <c r="E66" s="723" t="s">
        <v>708</v>
      </c>
      <c r="F66" s="724">
        <v>0</v>
      </c>
      <c r="G66" s="723" t="s">
        <v>708</v>
      </c>
      <c r="H66" s="724">
        <v>0</v>
      </c>
      <c r="I66" s="1226">
        <v>1</v>
      </c>
      <c r="J66" s="1228"/>
      <c r="K66" s="41"/>
      <c r="L66" s="11"/>
      <c r="M66" s="11"/>
      <c r="N66" s="11"/>
      <c r="O66" s="11" t="s">
        <v>135</v>
      </c>
      <c r="P66" s="12" t="s">
        <v>135</v>
      </c>
      <c r="Q66" s="12" t="s">
        <v>135</v>
      </c>
      <c r="R66" s="12"/>
      <c r="S66" s="165"/>
      <c r="T66" s="41"/>
      <c r="U66" s="11"/>
      <c r="V66" s="11"/>
      <c r="W66" s="11"/>
      <c r="X66" s="44" t="s">
        <v>135</v>
      </c>
      <c r="Y66" s="199" t="s">
        <v>135</v>
      </c>
      <c r="Z66" s="199"/>
      <c r="AA66" s="199"/>
      <c r="AB66" s="165"/>
      <c r="AC66" s="41"/>
      <c r="AD66" s="11"/>
      <c r="AE66" s="11"/>
      <c r="AF66" s="11"/>
      <c r="AG66" s="44" t="s">
        <v>135</v>
      </c>
      <c r="AH66" s="199" t="s">
        <v>135</v>
      </c>
      <c r="AI66" s="199"/>
      <c r="AJ66" s="199"/>
      <c r="AL66" s="1035" t="s">
        <v>873</v>
      </c>
      <c r="AM66" s="1036" t="s">
        <v>874</v>
      </c>
      <c r="AN66" s="1037">
        <v>2560000</v>
      </c>
      <c r="AO66" s="1041">
        <v>0</v>
      </c>
      <c r="AP66" s="971">
        <v>2560000</v>
      </c>
      <c r="AQ66" s="985">
        <v>0</v>
      </c>
      <c r="AR66" s="973">
        <v>277333</v>
      </c>
      <c r="AS66" s="974">
        <v>348240</v>
      </c>
      <c r="AT66" s="975">
        <v>3185573</v>
      </c>
      <c r="AU66" s="976">
        <v>2560000</v>
      </c>
      <c r="AV66" s="977">
        <v>3328000</v>
      </c>
      <c r="AW66" s="1040">
        <v>277333</v>
      </c>
      <c r="AX66" s="987">
        <v>277333</v>
      </c>
    </row>
    <row r="67" spans="1:50" ht="18" thickBot="1">
      <c r="A67" s="725" t="s">
        <v>708</v>
      </c>
      <c r="B67" s="726">
        <v>0</v>
      </c>
      <c r="C67" s="725" t="s">
        <v>708</v>
      </c>
      <c r="D67" s="726">
        <v>0</v>
      </c>
      <c r="E67" s="725" t="s">
        <v>708</v>
      </c>
      <c r="F67" s="727">
        <v>0</v>
      </c>
      <c r="G67" s="723" t="s">
        <v>708</v>
      </c>
      <c r="H67" s="724">
        <v>0</v>
      </c>
      <c r="I67" s="1226">
        <v>1</v>
      </c>
      <c r="J67" s="1228"/>
      <c r="K67" s="40"/>
      <c r="L67" s="9"/>
      <c r="M67" s="9"/>
      <c r="N67" s="9"/>
      <c r="O67" s="43" t="s">
        <v>135</v>
      </c>
      <c r="P67" s="198" t="s">
        <v>135</v>
      </c>
      <c r="Q67" s="198" t="s">
        <v>135</v>
      </c>
      <c r="R67" s="198"/>
      <c r="S67" s="165"/>
      <c r="T67" s="40"/>
      <c r="U67" s="9"/>
      <c r="V67" s="9"/>
      <c r="W67" s="9"/>
      <c r="X67" s="9" t="s">
        <v>135</v>
      </c>
      <c r="Y67" s="10" t="s">
        <v>135</v>
      </c>
      <c r="Z67" s="10"/>
      <c r="AA67" s="10"/>
      <c r="AB67" s="165"/>
      <c r="AC67" s="40"/>
      <c r="AD67" s="9"/>
      <c r="AE67" s="9"/>
      <c r="AF67" s="9"/>
      <c r="AG67" s="9" t="s">
        <v>135</v>
      </c>
      <c r="AH67" s="10" t="s">
        <v>135</v>
      </c>
      <c r="AI67" s="10"/>
      <c r="AJ67" s="10"/>
      <c r="AL67" s="1035" t="s">
        <v>875</v>
      </c>
      <c r="AM67" s="1036" t="s">
        <v>738</v>
      </c>
      <c r="AN67" s="1037">
        <v>2370000</v>
      </c>
      <c r="AO67" s="1041">
        <v>0</v>
      </c>
      <c r="AP67" s="971">
        <v>2370000</v>
      </c>
      <c r="AQ67" s="985">
        <v>0</v>
      </c>
      <c r="AR67" s="973">
        <v>256750</v>
      </c>
      <c r="AS67" s="974">
        <v>322400</v>
      </c>
      <c r="AT67" s="975">
        <v>2949150</v>
      </c>
      <c r="AU67" s="976">
        <v>2370192</v>
      </c>
      <c r="AV67" s="977">
        <v>3081000</v>
      </c>
      <c r="AW67" s="1040">
        <v>256750</v>
      </c>
      <c r="AX67" s="987">
        <v>256750</v>
      </c>
    </row>
    <row r="68" spans="1:50" ht="18" thickBot="1">
      <c r="A68" s="729"/>
      <c r="B68" s="730"/>
      <c r="C68" s="730"/>
      <c r="D68" s="730"/>
      <c r="E68" s="730"/>
      <c r="F68" s="730"/>
      <c r="G68" s="723" t="s">
        <v>708</v>
      </c>
      <c r="H68" s="724">
        <v>0</v>
      </c>
      <c r="I68" s="1226">
        <v>1</v>
      </c>
      <c r="J68" s="1228"/>
      <c r="K68" s="41"/>
      <c r="L68" s="11"/>
      <c r="M68" s="11"/>
      <c r="N68" s="11"/>
      <c r="O68" s="11" t="s">
        <v>135</v>
      </c>
      <c r="P68" s="12" t="s">
        <v>135</v>
      </c>
      <c r="Q68" s="12" t="s">
        <v>135</v>
      </c>
      <c r="R68" s="12"/>
      <c r="S68" s="165"/>
      <c r="T68" s="41"/>
      <c r="U68" s="11"/>
      <c r="V68" s="11"/>
      <c r="W68" s="11"/>
      <c r="X68" s="44" t="s">
        <v>135</v>
      </c>
      <c r="Y68" s="199" t="s">
        <v>135</v>
      </c>
      <c r="Z68" s="199"/>
      <c r="AA68" s="199"/>
      <c r="AB68" s="165"/>
      <c r="AC68" s="41"/>
      <c r="AD68" s="11"/>
      <c r="AE68" s="11"/>
      <c r="AF68" s="11"/>
      <c r="AG68" s="44" t="s">
        <v>135</v>
      </c>
      <c r="AH68" s="199" t="s">
        <v>135</v>
      </c>
      <c r="AI68" s="199"/>
      <c r="AJ68" s="199"/>
      <c r="AL68" s="1035" t="s">
        <v>876</v>
      </c>
      <c r="AM68" s="1036" t="s">
        <v>738</v>
      </c>
      <c r="AN68" s="1037">
        <v>2370000</v>
      </c>
      <c r="AO68" s="1041">
        <v>0</v>
      </c>
      <c r="AP68" s="971">
        <v>2370000</v>
      </c>
      <c r="AQ68" s="985">
        <v>0</v>
      </c>
      <c r="AR68" s="973">
        <v>256750</v>
      </c>
      <c r="AS68" s="974">
        <v>322400</v>
      </c>
      <c r="AT68" s="975">
        <v>2949150</v>
      </c>
      <c r="AU68" s="976">
        <v>2370192</v>
      </c>
      <c r="AV68" s="977">
        <v>3081000</v>
      </c>
      <c r="AW68" s="1040">
        <v>256750</v>
      </c>
      <c r="AX68" s="987">
        <v>256750</v>
      </c>
    </row>
    <row r="69" spans="1:50" ht="18" thickBot="1">
      <c r="A69" s="734" t="s">
        <v>682</v>
      </c>
      <c r="B69" s="735"/>
      <c r="C69" s="736"/>
      <c r="D69" s="713" t="s">
        <v>680</v>
      </c>
      <c r="E69" s="714"/>
      <c r="F69" s="715"/>
      <c r="G69" s="1242" t="s">
        <v>549</v>
      </c>
      <c r="H69" s="1243"/>
      <c r="I69" s="1244"/>
      <c r="J69" s="1228"/>
      <c r="K69" s="40"/>
      <c r="L69" s="9"/>
      <c r="M69" s="9"/>
      <c r="N69" s="9"/>
      <c r="O69" s="43" t="s">
        <v>135</v>
      </c>
      <c r="P69" s="198" t="s">
        <v>135</v>
      </c>
      <c r="Q69" s="198" t="s">
        <v>135</v>
      </c>
      <c r="R69" s="198"/>
      <c r="S69" s="165"/>
      <c r="T69" s="40"/>
      <c r="U69" s="9"/>
      <c r="V69" s="9"/>
      <c r="W69" s="9"/>
      <c r="X69" s="9" t="s">
        <v>135</v>
      </c>
      <c r="Y69" s="10" t="s">
        <v>135</v>
      </c>
      <c r="Z69" s="10"/>
      <c r="AA69" s="10"/>
      <c r="AB69" s="165"/>
      <c r="AC69" s="40"/>
      <c r="AD69" s="9"/>
      <c r="AE69" s="9"/>
      <c r="AF69" s="9"/>
      <c r="AG69" s="9" t="s">
        <v>135</v>
      </c>
      <c r="AH69" s="10" t="s">
        <v>135</v>
      </c>
      <c r="AI69" s="10"/>
      <c r="AJ69" s="10"/>
      <c r="AL69" s="1035" t="s">
        <v>877</v>
      </c>
      <c r="AM69" s="1036" t="s">
        <v>738</v>
      </c>
      <c r="AN69" s="1037">
        <v>2723000</v>
      </c>
      <c r="AO69" s="1041">
        <v>0</v>
      </c>
      <c r="AP69" s="971">
        <v>2723000</v>
      </c>
      <c r="AQ69" s="985">
        <v>0</v>
      </c>
      <c r="AR69" s="973">
        <v>294992</v>
      </c>
      <c r="AS69" s="974">
        <v>370420</v>
      </c>
      <c r="AT69" s="975">
        <v>3388412</v>
      </c>
      <c r="AU69" s="976">
        <v>2723368</v>
      </c>
      <c r="AV69" s="977">
        <v>3539900</v>
      </c>
      <c r="AW69" s="1040">
        <v>294992</v>
      </c>
      <c r="AX69" s="987">
        <v>294992</v>
      </c>
    </row>
    <row r="70" spans="1:50" ht="18" thickBot="1">
      <c r="A70" s="697" t="s">
        <v>444</v>
      </c>
      <c r="B70" s="737">
        <v>0.3</v>
      </c>
      <c r="C70" s="738"/>
      <c r="D70" s="694" t="s">
        <v>18</v>
      </c>
      <c r="E70" s="693"/>
      <c r="F70" s="693" t="s">
        <v>660</v>
      </c>
      <c r="G70" s="345" t="s">
        <v>61</v>
      </c>
      <c r="H70" s="748">
        <v>0</v>
      </c>
      <c r="I70" s="418" t="s">
        <v>660</v>
      </c>
      <c r="J70" s="1228"/>
      <c r="K70" s="41"/>
      <c r="L70" s="11"/>
      <c r="M70" s="11"/>
      <c r="N70" s="11"/>
      <c r="O70" s="11" t="s">
        <v>135</v>
      </c>
      <c r="P70" s="12" t="s">
        <v>135</v>
      </c>
      <c r="Q70" s="12" t="s">
        <v>135</v>
      </c>
      <c r="R70" s="12"/>
      <c r="S70" s="165"/>
      <c r="T70" s="41"/>
      <c r="U70" s="11"/>
      <c r="V70" s="11"/>
      <c r="W70" s="11"/>
      <c r="X70" s="44" t="s">
        <v>135</v>
      </c>
      <c r="Y70" s="199" t="s">
        <v>135</v>
      </c>
      <c r="Z70" s="199"/>
      <c r="AA70" s="199"/>
      <c r="AB70" s="165"/>
      <c r="AC70" s="41"/>
      <c r="AD70" s="11"/>
      <c r="AE70" s="11"/>
      <c r="AF70" s="11"/>
      <c r="AG70" s="44" t="s">
        <v>135</v>
      </c>
      <c r="AH70" s="199" t="s">
        <v>135</v>
      </c>
      <c r="AI70" s="199"/>
      <c r="AJ70" s="199"/>
      <c r="AL70" s="1035" t="s">
        <v>878</v>
      </c>
      <c r="AM70" s="1036" t="s">
        <v>738</v>
      </c>
      <c r="AN70" s="1037">
        <v>2650000</v>
      </c>
      <c r="AO70" s="1041">
        <v>0</v>
      </c>
      <c r="AP70" s="971">
        <v>2650000</v>
      </c>
      <c r="AQ70" s="985">
        <v>0</v>
      </c>
      <c r="AR70" s="973">
        <v>287083</v>
      </c>
      <c r="AS70" s="974">
        <v>360490</v>
      </c>
      <c r="AT70" s="975">
        <v>3297573</v>
      </c>
      <c r="AU70" s="976">
        <v>2650156</v>
      </c>
      <c r="AV70" s="977">
        <v>3445000</v>
      </c>
      <c r="AW70" s="1040">
        <v>287083</v>
      </c>
      <c r="AX70" s="987">
        <v>287083</v>
      </c>
    </row>
    <row r="71" spans="1:50" ht="17.25">
      <c r="A71" s="502" t="s">
        <v>444</v>
      </c>
      <c r="B71" s="739"/>
      <c r="C71" s="740"/>
      <c r="D71" s="686" t="s">
        <v>18</v>
      </c>
      <c r="E71" s="719"/>
      <c r="F71" s="720">
        <v>12</v>
      </c>
      <c r="G71" s="911" t="s">
        <v>61</v>
      </c>
      <c r="H71" s="757">
        <v>0</v>
      </c>
      <c r="I71" s="537">
        <v>12</v>
      </c>
      <c r="J71" s="1228"/>
      <c r="K71" s="40"/>
      <c r="L71" s="9"/>
      <c r="M71" s="9"/>
      <c r="N71" s="9"/>
      <c r="O71" s="43" t="s">
        <v>135</v>
      </c>
      <c r="P71" s="198" t="s">
        <v>135</v>
      </c>
      <c r="Q71" s="198" t="s">
        <v>135</v>
      </c>
      <c r="R71" s="198"/>
      <c r="S71" s="165"/>
      <c r="T71" s="40"/>
      <c r="U71" s="9"/>
      <c r="V71" s="9"/>
      <c r="W71" s="43"/>
      <c r="X71" s="9" t="s">
        <v>135</v>
      </c>
      <c r="Y71" s="198" t="s">
        <v>135</v>
      </c>
      <c r="Z71" s="198"/>
      <c r="AA71" s="198"/>
      <c r="AB71" s="165"/>
      <c r="AC71" s="40"/>
      <c r="AD71" s="9"/>
      <c r="AE71" s="9"/>
      <c r="AF71" s="43"/>
      <c r="AG71" s="9" t="s">
        <v>135</v>
      </c>
      <c r="AH71" s="198" t="s">
        <v>135</v>
      </c>
      <c r="AI71" s="198"/>
      <c r="AJ71" s="198"/>
      <c r="AL71" s="1035" t="s">
        <v>879</v>
      </c>
      <c r="AM71" s="1036" t="s">
        <v>738</v>
      </c>
      <c r="AN71" s="1037">
        <v>2350000</v>
      </c>
      <c r="AO71" s="1038">
        <v>0</v>
      </c>
      <c r="AP71" s="971">
        <v>2350000</v>
      </c>
      <c r="AQ71" s="1039">
        <v>0</v>
      </c>
      <c r="AR71" s="973">
        <v>254583</v>
      </c>
      <c r="AS71" s="974">
        <v>319680</v>
      </c>
      <c r="AT71" s="975">
        <v>2924263</v>
      </c>
      <c r="AU71" s="976">
        <v>2350192</v>
      </c>
      <c r="AV71" s="977">
        <v>3055000</v>
      </c>
      <c r="AW71" s="1040">
        <v>254583</v>
      </c>
      <c r="AX71" s="987">
        <v>254583</v>
      </c>
    </row>
    <row r="72" spans="1:50" ht="18" thickBot="1">
      <c r="A72" s="689" t="s">
        <v>708</v>
      </c>
      <c r="B72" s="741">
        <v>0</v>
      </c>
      <c r="C72" s="742"/>
      <c r="D72" s="721" t="s">
        <v>708</v>
      </c>
      <c r="E72" s="722">
        <v>0</v>
      </c>
      <c r="F72" s="720">
        <v>12</v>
      </c>
      <c r="G72" s="556" t="s">
        <v>708</v>
      </c>
      <c r="H72" s="751">
        <v>0</v>
      </c>
      <c r="I72" s="537">
        <v>12</v>
      </c>
      <c r="J72" s="1228"/>
      <c r="K72" s="41"/>
      <c r="L72" s="11"/>
      <c r="M72" s="11"/>
      <c r="N72" s="44"/>
      <c r="O72" s="11" t="s">
        <v>135</v>
      </c>
      <c r="P72" s="199" t="s">
        <v>135</v>
      </c>
      <c r="Q72" s="199" t="s">
        <v>135</v>
      </c>
      <c r="R72" s="199"/>
      <c r="S72" s="165"/>
      <c r="T72" s="41"/>
      <c r="U72" s="11"/>
      <c r="V72" s="44"/>
      <c r="W72" s="11"/>
      <c r="X72" s="11" t="s">
        <v>135</v>
      </c>
      <c r="Y72" s="199" t="s">
        <v>135</v>
      </c>
      <c r="Z72" s="199"/>
      <c r="AA72" s="199"/>
      <c r="AB72" s="165"/>
      <c r="AC72" s="41"/>
      <c r="AD72" s="11"/>
      <c r="AE72" s="44"/>
      <c r="AF72" s="11"/>
      <c r="AG72" s="11" t="s">
        <v>135</v>
      </c>
      <c r="AH72" s="199" t="s">
        <v>135</v>
      </c>
      <c r="AI72" s="199"/>
      <c r="AJ72" s="199"/>
      <c r="AL72" s="1035" t="s">
        <v>880</v>
      </c>
      <c r="AM72" s="1036" t="s">
        <v>738</v>
      </c>
      <c r="AN72" s="1037">
        <v>2330000</v>
      </c>
      <c r="AO72" s="1038">
        <v>0</v>
      </c>
      <c r="AP72" s="971">
        <v>2330000</v>
      </c>
      <c r="AQ72" s="1039">
        <v>0</v>
      </c>
      <c r="AR72" s="973">
        <v>252417</v>
      </c>
      <c r="AS72" s="974">
        <v>316960</v>
      </c>
      <c r="AT72" s="975">
        <v>2899377</v>
      </c>
      <c r="AU72" s="976">
        <v>2330192</v>
      </c>
      <c r="AV72" s="977">
        <v>3029000</v>
      </c>
      <c r="AW72" s="1040">
        <v>252417</v>
      </c>
      <c r="AX72" s="987">
        <v>252417</v>
      </c>
    </row>
    <row r="73" spans="1:50" ht="18" thickBot="1">
      <c r="A73" s="697" t="s">
        <v>443</v>
      </c>
      <c r="B73" s="737">
        <v>0.4</v>
      </c>
      <c r="C73" s="738"/>
      <c r="D73" s="694" t="s">
        <v>20</v>
      </c>
      <c r="E73" s="693"/>
      <c r="F73" s="693" t="s">
        <v>660</v>
      </c>
      <c r="G73" s="345" t="s">
        <v>881</v>
      </c>
      <c r="H73" s="748">
        <v>0</v>
      </c>
      <c r="I73" s="418" t="s">
        <v>660</v>
      </c>
      <c r="J73" s="1228"/>
      <c r="K73" s="40"/>
      <c r="L73" s="9"/>
      <c r="M73" s="43"/>
      <c r="N73" s="9"/>
      <c r="O73" s="9" t="s">
        <v>135</v>
      </c>
      <c r="P73" s="198" t="s">
        <v>135</v>
      </c>
      <c r="Q73" s="198" t="s">
        <v>135</v>
      </c>
      <c r="R73" s="198"/>
      <c r="S73" s="165"/>
      <c r="T73" s="40"/>
      <c r="U73" s="9"/>
      <c r="V73" s="9"/>
      <c r="W73" s="9"/>
      <c r="X73" s="9" t="s">
        <v>135</v>
      </c>
      <c r="Y73" s="10" t="s">
        <v>135</v>
      </c>
      <c r="Z73" s="10"/>
      <c r="AA73" s="10"/>
      <c r="AB73" s="165"/>
      <c r="AC73" s="40"/>
      <c r="AD73" s="9"/>
      <c r="AE73" s="9"/>
      <c r="AF73" s="9"/>
      <c r="AG73" s="9" t="s">
        <v>135</v>
      </c>
      <c r="AH73" s="10" t="s">
        <v>135</v>
      </c>
      <c r="AI73" s="10"/>
      <c r="AJ73" s="10"/>
      <c r="AL73" s="1035" t="s">
        <v>882</v>
      </c>
      <c r="AM73" s="1036" t="s">
        <v>738</v>
      </c>
      <c r="AN73" s="1037">
        <v>2330000</v>
      </c>
      <c r="AO73" s="1038">
        <v>0</v>
      </c>
      <c r="AP73" s="971">
        <v>2330000</v>
      </c>
      <c r="AQ73" s="1039">
        <v>0</v>
      </c>
      <c r="AR73" s="973">
        <v>252417</v>
      </c>
      <c r="AS73" s="974">
        <v>316960</v>
      </c>
      <c r="AT73" s="975">
        <v>2899377</v>
      </c>
      <c r="AU73" s="976">
        <v>2330192</v>
      </c>
      <c r="AV73" s="977">
        <v>3029000</v>
      </c>
      <c r="AW73" s="1040">
        <v>252417</v>
      </c>
      <c r="AX73" s="987">
        <v>252417</v>
      </c>
    </row>
    <row r="74" spans="1:50" ht="17.25">
      <c r="A74" s="502" t="s">
        <v>443</v>
      </c>
      <c r="B74" s="739"/>
      <c r="C74" s="740"/>
      <c r="D74" s="686" t="s">
        <v>20</v>
      </c>
      <c r="E74" s="719"/>
      <c r="F74" s="728">
        <v>12</v>
      </c>
      <c r="G74" s="911" t="s">
        <v>881</v>
      </c>
      <c r="H74" s="760">
        <v>0</v>
      </c>
      <c r="I74" s="537">
        <v>12</v>
      </c>
      <c r="J74" s="1228"/>
      <c r="K74" s="41"/>
      <c r="L74" s="11"/>
      <c r="M74" s="11"/>
      <c r="N74" s="11"/>
      <c r="O74" s="11" t="s">
        <v>135</v>
      </c>
      <c r="P74" s="12" t="s">
        <v>135</v>
      </c>
      <c r="Q74" s="12" t="s">
        <v>135</v>
      </c>
      <c r="R74" s="12"/>
      <c r="S74" s="165"/>
      <c r="T74" s="41"/>
      <c r="U74" s="11"/>
      <c r="V74" s="11"/>
      <c r="W74" s="11"/>
      <c r="X74" s="44" t="s">
        <v>135</v>
      </c>
      <c r="Y74" s="199" t="s">
        <v>135</v>
      </c>
      <c r="Z74" s="199"/>
      <c r="AA74" s="199"/>
      <c r="AB74" s="165"/>
      <c r="AC74" s="41"/>
      <c r="AD74" s="11"/>
      <c r="AE74" s="11"/>
      <c r="AF74" s="11"/>
      <c r="AG74" s="44" t="s">
        <v>135</v>
      </c>
      <c r="AH74" s="199" t="s">
        <v>135</v>
      </c>
      <c r="AI74" s="199"/>
      <c r="AJ74" s="199"/>
      <c r="AL74" s="1035" t="s">
        <v>883</v>
      </c>
      <c r="AM74" s="1036" t="s">
        <v>738</v>
      </c>
      <c r="AN74" s="1037">
        <v>2330000</v>
      </c>
      <c r="AO74" s="1038">
        <v>0</v>
      </c>
      <c r="AP74" s="971">
        <v>2330000</v>
      </c>
      <c r="AQ74" s="1039">
        <v>0</v>
      </c>
      <c r="AR74" s="973">
        <v>252417</v>
      </c>
      <c r="AS74" s="974">
        <v>316960</v>
      </c>
      <c r="AT74" s="975">
        <v>2899377</v>
      </c>
      <c r="AU74" s="976">
        <v>2330000</v>
      </c>
      <c r="AV74" s="977">
        <v>3029000</v>
      </c>
      <c r="AW74" s="1040">
        <v>252417</v>
      </c>
      <c r="AX74" s="987">
        <v>252417</v>
      </c>
    </row>
    <row r="75" spans="1:50" ht="18" thickBot="1">
      <c r="A75" s="689" t="s">
        <v>708</v>
      </c>
      <c r="B75" s="741">
        <v>0</v>
      </c>
      <c r="C75" s="742"/>
      <c r="D75" s="731" t="s">
        <v>708</v>
      </c>
      <c r="E75" s="732">
        <v>0</v>
      </c>
      <c r="F75" s="733">
        <v>12</v>
      </c>
      <c r="G75" s="1209" t="s">
        <v>708</v>
      </c>
      <c r="H75" s="751">
        <v>0</v>
      </c>
      <c r="I75" s="1210">
        <v>12</v>
      </c>
      <c r="J75" s="1228"/>
      <c r="K75" s="40"/>
      <c r="L75" s="9"/>
      <c r="M75" s="9"/>
      <c r="N75" s="9"/>
      <c r="O75" s="43" t="s">
        <v>135</v>
      </c>
      <c r="P75" s="198" t="s">
        <v>135</v>
      </c>
      <c r="Q75" s="198" t="s">
        <v>135</v>
      </c>
      <c r="R75" s="198"/>
      <c r="S75" s="165"/>
      <c r="T75" s="40"/>
      <c r="U75" s="9"/>
      <c r="V75" s="9"/>
      <c r="W75" s="9"/>
      <c r="X75" s="9" t="s">
        <v>135</v>
      </c>
      <c r="Y75" s="10" t="s">
        <v>135</v>
      </c>
      <c r="Z75" s="10"/>
      <c r="AA75" s="10"/>
      <c r="AB75" s="165"/>
      <c r="AC75" s="40"/>
      <c r="AD75" s="9"/>
      <c r="AE75" s="9"/>
      <c r="AF75" s="9"/>
      <c r="AG75" s="9" t="s">
        <v>135</v>
      </c>
      <c r="AH75" s="10" t="s">
        <v>135</v>
      </c>
      <c r="AI75" s="10"/>
      <c r="AJ75" s="10"/>
      <c r="AL75" s="1035" t="s">
        <v>884</v>
      </c>
      <c r="AM75" s="1036" t="s">
        <v>738</v>
      </c>
      <c r="AN75" s="1037">
        <v>2270000</v>
      </c>
      <c r="AO75" s="1038">
        <v>0</v>
      </c>
      <c r="AP75" s="971">
        <v>2270000</v>
      </c>
      <c r="AQ75" s="1039">
        <v>0</v>
      </c>
      <c r="AR75" s="973">
        <v>245917</v>
      </c>
      <c r="AS75" s="974">
        <v>308790</v>
      </c>
      <c r="AT75" s="975">
        <v>2824707</v>
      </c>
      <c r="AU75" s="976">
        <v>2270192</v>
      </c>
      <c r="AV75" s="977">
        <v>2951000</v>
      </c>
      <c r="AW75" s="1040">
        <v>245917</v>
      </c>
      <c r="AX75" s="987">
        <v>245917</v>
      </c>
    </row>
    <row r="76" spans="1:50" ht="17.25">
      <c r="J76" s="1228"/>
      <c r="K76" s="40"/>
      <c r="L76" s="9"/>
      <c r="M76" s="9"/>
      <c r="N76" s="9"/>
      <c r="O76" s="43" t="s">
        <v>135</v>
      </c>
      <c r="P76" s="198" t="s">
        <v>135</v>
      </c>
      <c r="Q76" s="198" t="s">
        <v>135</v>
      </c>
      <c r="R76" s="198"/>
      <c r="S76" s="165"/>
      <c r="T76" s="41"/>
      <c r="U76" s="11"/>
      <c r="V76" s="11"/>
      <c r="W76" s="11"/>
      <c r="X76" s="44" t="s">
        <v>135</v>
      </c>
      <c r="Y76" s="199" t="s">
        <v>135</v>
      </c>
      <c r="Z76" s="199"/>
      <c r="AA76" s="199"/>
      <c r="AB76" s="165"/>
      <c r="AC76" s="41"/>
      <c r="AD76" s="11"/>
      <c r="AE76" s="11"/>
      <c r="AF76" s="11"/>
      <c r="AG76" s="44" t="s">
        <v>135</v>
      </c>
      <c r="AH76" s="199" t="s">
        <v>135</v>
      </c>
      <c r="AI76" s="199"/>
      <c r="AJ76" s="199"/>
      <c r="AL76" s="1035" t="s">
        <v>885</v>
      </c>
      <c r="AM76" s="1036" t="s">
        <v>738</v>
      </c>
      <c r="AN76" s="1037">
        <v>2270000</v>
      </c>
      <c r="AO76" s="1038">
        <v>0</v>
      </c>
      <c r="AP76" s="971">
        <v>2270000</v>
      </c>
      <c r="AQ76" s="1039">
        <v>0</v>
      </c>
      <c r="AR76" s="973">
        <v>245917</v>
      </c>
      <c r="AS76" s="974">
        <v>308790</v>
      </c>
      <c r="AT76" s="975">
        <v>2824707</v>
      </c>
      <c r="AU76" s="976">
        <v>2270192</v>
      </c>
      <c r="AV76" s="977">
        <v>2951000</v>
      </c>
      <c r="AW76" s="1040">
        <v>245917</v>
      </c>
      <c r="AX76" s="987">
        <v>245917</v>
      </c>
    </row>
    <row r="77" spans="1:50" ht="17.25">
      <c r="J77" s="1228"/>
      <c r="K77" s="41"/>
      <c r="L77" s="11"/>
      <c r="M77" s="11"/>
      <c r="N77" s="11"/>
      <c r="O77" s="11" t="s">
        <v>135</v>
      </c>
      <c r="P77" s="12" t="s">
        <v>135</v>
      </c>
      <c r="Q77" s="12" t="s">
        <v>135</v>
      </c>
      <c r="R77" s="12"/>
      <c r="S77" s="165"/>
      <c r="T77" s="40"/>
      <c r="U77" s="9"/>
      <c r="V77" s="9"/>
      <c r="W77" s="9"/>
      <c r="X77" s="9" t="s">
        <v>135</v>
      </c>
      <c r="Y77" s="10" t="s">
        <v>135</v>
      </c>
      <c r="Z77" s="10"/>
      <c r="AA77" s="10"/>
      <c r="AB77" s="165"/>
      <c r="AC77" s="40"/>
      <c r="AD77" s="9"/>
      <c r="AE77" s="9"/>
      <c r="AF77" s="9"/>
      <c r="AG77" s="9" t="s">
        <v>135</v>
      </c>
      <c r="AH77" s="10" t="s">
        <v>135</v>
      </c>
      <c r="AI77" s="10"/>
      <c r="AJ77" s="10"/>
      <c r="AL77" s="1035" t="s">
        <v>886</v>
      </c>
      <c r="AM77" s="1036" t="s">
        <v>738</v>
      </c>
      <c r="AN77" s="1037">
        <v>2250000</v>
      </c>
      <c r="AO77" s="1038">
        <v>0</v>
      </c>
      <c r="AP77" s="971">
        <v>2250000</v>
      </c>
      <c r="AQ77" s="1039">
        <v>0</v>
      </c>
      <c r="AR77" s="973">
        <v>243750</v>
      </c>
      <c r="AS77" s="974">
        <v>306070</v>
      </c>
      <c r="AT77" s="975">
        <v>2799820</v>
      </c>
      <c r="AU77" s="976">
        <v>2250192</v>
      </c>
      <c r="AV77" s="977">
        <v>2925000</v>
      </c>
      <c r="AW77" s="1040">
        <v>243750</v>
      </c>
      <c r="AX77" s="987">
        <v>243750</v>
      </c>
    </row>
    <row r="78" spans="1:50" ht="17.25">
      <c r="J78" s="1228"/>
      <c r="K78" s="41"/>
      <c r="L78" s="11"/>
      <c r="M78" s="11"/>
      <c r="N78" s="11"/>
      <c r="O78" s="11" t="s">
        <v>135</v>
      </c>
      <c r="P78" s="12" t="s">
        <v>135</v>
      </c>
      <c r="Q78" s="12" t="s">
        <v>135</v>
      </c>
      <c r="R78" s="12"/>
      <c r="S78" s="165"/>
      <c r="T78" s="41"/>
      <c r="U78" s="11"/>
      <c r="V78" s="11"/>
      <c r="W78" s="11"/>
      <c r="X78" s="44" t="s">
        <v>135</v>
      </c>
      <c r="Y78" s="199" t="s">
        <v>135</v>
      </c>
      <c r="Z78" s="199"/>
      <c r="AA78" s="199"/>
      <c r="AB78" s="165"/>
      <c r="AC78" s="41"/>
      <c r="AD78" s="11"/>
      <c r="AE78" s="11"/>
      <c r="AF78" s="11"/>
      <c r="AG78" s="44" t="s">
        <v>135</v>
      </c>
      <c r="AH78" s="199" t="s">
        <v>135</v>
      </c>
      <c r="AI78" s="199"/>
      <c r="AJ78" s="199"/>
      <c r="AL78" s="1035" t="s">
        <v>887</v>
      </c>
      <c r="AM78" s="1036" t="s">
        <v>738</v>
      </c>
      <c r="AN78" s="1037">
        <v>2250000</v>
      </c>
      <c r="AO78" s="1038">
        <v>0</v>
      </c>
      <c r="AP78" s="971">
        <v>2250000</v>
      </c>
      <c r="AQ78" s="1039">
        <v>0</v>
      </c>
      <c r="AR78" s="973">
        <v>243750</v>
      </c>
      <c r="AS78" s="974">
        <v>306070</v>
      </c>
      <c r="AT78" s="975">
        <v>2799820</v>
      </c>
      <c r="AU78" s="976">
        <v>2250192</v>
      </c>
      <c r="AV78" s="977">
        <v>2925000</v>
      </c>
      <c r="AW78" s="1040">
        <v>243750</v>
      </c>
      <c r="AX78" s="987">
        <v>243750</v>
      </c>
    </row>
    <row r="79" spans="1:50" ht="17.25">
      <c r="J79" s="1228"/>
      <c r="K79" s="40"/>
      <c r="L79" s="9"/>
      <c r="M79" s="9"/>
      <c r="N79" s="9"/>
      <c r="O79" s="43" t="s">
        <v>135</v>
      </c>
      <c r="P79" s="198" t="s">
        <v>135</v>
      </c>
      <c r="Q79" s="198" t="s">
        <v>135</v>
      </c>
      <c r="R79" s="198"/>
      <c r="S79" s="165"/>
      <c r="T79" s="40"/>
      <c r="U79" s="9"/>
      <c r="V79" s="9"/>
      <c r="W79" s="43"/>
      <c r="X79" s="9" t="s">
        <v>135</v>
      </c>
      <c r="Y79" s="198" t="s">
        <v>135</v>
      </c>
      <c r="Z79" s="198"/>
      <c r="AA79" s="198"/>
      <c r="AB79" s="165"/>
      <c r="AC79" s="40"/>
      <c r="AD79" s="9"/>
      <c r="AE79" s="9"/>
      <c r="AF79" s="43"/>
      <c r="AG79" s="9" t="s">
        <v>135</v>
      </c>
      <c r="AH79" s="198" t="s">
        <v>135</v>
      </c>
      <c r="AI79" s="198"/>
      <c r="AJ79" s="198"/>
      <c r="AL79" s="1035" t="s">
        <v>888</v>
      </c>
      <c r="AM79" s="1036" t="s">
        <v>738</v>
      </c>
      <c r="AN79" s="1037">
        <v>2250000</v>
      </c>
      <c r="AO79" s="1038">
        <v>0</v>
      </c>
      <c r="AP79" s="971">
        <v>2250000</v>
      </c>
      <c r="AQ79" s="1039">
        <v>0</v>
      </c>
      <c r="AR79" s="973">
        <v>243750</v>
      </c>
      <c r="AS79" s="974">
        <v>306070</v>
      </c>
      <c r="AT79" s="975">
        <v>2799820</v>
      </c>
      <c r="AU79" s="976">
        <v>2250192</v>
      </c>
      <c r="AV79" s="977">
        <v>2925000</v>
      </c>
      <c r="AW79" s="1040">
        <v>243750</v>
      </c>
      <c r="AX79" s="987">
        <v>243750</v>
      </c>
    </row>
    <row r="80" spans="1:50" ht="17.25">
      <c r="J80" s="1228"/>
      <c r="K80" s="41"/>
      <c r="L80" s="11"/>
      <c r="M80" s="11"/>
      <c r="N80" s="44"/>
      <c r="O80" s="11" t="s">
        <v>135</v>
      </c>
      <c r="P80" s="199" t="s">
        <v>135</v>
      </c>
      <c r="Q80" s="199" t="s">
        <v>135</v>
      </c>
      <c r="R80" s="199"/>
      <c r="S80" s="165"/>
      <c r="T80" s="41"/>
      <c r="U80" s="11"/>
      <c r="V80" s="11"/>
      <c r="W80" s="11"/>
      <c r="X80" s="11" t="s">
        <v>135</v>
      </c>
      <c r="Y80" s="12" t="s">
        <v>135</v>
      </c>
      <c r="Z80" s="12"/>
      <c r="AA80" s="12"/>
      <c r="AB80" s="165"/>
      <c r="AC80" s="41"/>
      <c r="AD80" s="11"/>
      <c r="AE80" s="11"/>
      <c r="AF80" s="11"/>
      <c r="AG80" s="11" t="s">
        <v>135</v>
      </c>
      <c r="AH80" s="12" t="s">
        <v>135</v>
      </c>
      <c r="AI80" s="12"/>
      <c r="AJ80" s="12"/>
      <c r="AL80" s="1035" t="s">
        <v>889</v>
      </c>
      <c r="AM80" s="1036" t="s">
        <v>738</v>
      </c>
      <c r="AN80" s="1037">
        <v>2550000</v>
      </c>
      <c r="AO80" s="1041">
        <v>0</v>
      </c>
      <c r="AP80" s="971">
        <v>2550000</v>
      </c>
      <c r="AQ80" s="1039">
        <v>0</v>
      </c>
      <c r="AR80" s="973">
        <v>276250</v>
      </c>
      <c r="AS80" s="974">
        <v>346880</v>
      </c>
      <c r="AT80" s="975">
        <v>3173130</v>
      </c>
      <c r="AU80" s="976">
        <v>2550156</v>
      </c>
      <c r="AV80" s="977">
        <v>3315000</v>
      </c>
      <c r="AW80" s="1040">
        <v>276250</v>
      </c>
      <c r="AX80" s="987">
        <v>276250</v>
      </c>
    </row>
    <row r="81" spans="10:50" ht="17.25">
      <c r="J81" s="1228"/>
      <c r="K81" s="40"/>
      <c r="L81" s="9"/>
      <c r="M81" s="9"/>
      <c r="N81" s="9"/>
      <c r="O81" s="9" t="s">
        <v>135</v>
      </c>
      <c r="P81" s="10" t="s">
        <v>135</v>
      </c>
      <c r="Q81" s="10" t="s">
        <v>135</v>
      </c>
      <c r="R81" s="10"/>
      <c r="S81" s="165"/>
      <c r="T81" s="40"/>
      <c r="U81" s="9"/>
      <c r="V81" s="9"/>
      <c r="W81" s="9"/>
      <c r="X81" s="43" t="s">
        <v>135</v>
      </c>
      <c r="Y81" s="198" t="s">
        <v>135</v>
      </c>
      <c r="Z81" s="198"/>
      <c r="AA81" s="198"/>
      <c r="AB81" s="165"/>
      <c r="AC81" s="40"/>
      <c r="AD81" s="9"/>
      <c r="AE81" s="9"/>
      <c r="AF81" s="9"/>
      <c r="AG81" s="43" t="s">
        <v>135</v>
      </c>
      <c r="AH81" s="198" t="s">
        <v>135</v>
      </c>
      <c r="AI81" s="198"/>
      <c r="AJ81" s="198"/>
      <c r="AL81" s="1035" t="s">
        <v>890</v>
      </c>
      <c r="AM81" s="1036" t="s">
        <v>738</v>
      </c>
      <c r="AN81" s="1037">
        <v>2250000</v>
      </c>
      <c r="AO81" s="1041">
        <v>0</v>
      </c>
      <c r="AP81" s="971">
        <v>2250000</v>
      </c>
      <c r="AQ81" s="1039">
        <v>0</v>
      </c>
      <c r="AR81" s="973">
        <v>243750</v>
      </c>
      <c r="AS81" s="974">
        <v>306070</v>
      </c>
      <c r="AT81" s="975">
        <v>2799820</v>
      </c>
      <c r="AU81" s="976">
        <v>2250192</v>
      </c>
      <c r="AV81" s="977">
        <v>2925000</v>
      </c>
      <c r="AW81" s="1040">
        <v>243750</v>
      </c>
      <c r="AX81" s="987">
        <v>243750</v>
      </c>
    </row>
    <row r="82" spans="10:50" ht="17.25">
      <c r="J82" s="1228"/>
      <c r="K82" s="41"/>
      <c r="L82" s="11"/>
      <c r="M82" s="11"/>
      <c r="N82" s="11"/>
      <c r="O82" s="44" t="s">
        <v>135</v>
      </c>
      <c r="P82" s="199" t="s">
        <v>135</v>
      </c>
      <c r="Q82" s="199" t="s">
        <v>135</v>
      </c>
      <c r="R82" s="199"/>
      <c r="S82" s="165"/>
      <c r="T82" s="41"/>
      <c r="U82" s="11"/>
      <c r="V82" s="11"/>
      <c r="W82" s="44"/>
      <c r="X82" s="11" t="s">
        <v>135</v>
      </c>
      <c r="Y82" s="199" t="s">
        <v>135</v>
      </c>
      <c r="Z82" s="199"/>
      <c r="AA82" s="199"/>
      <c r="AB82" s="165"/>
      <c r="AC82" s="41"/>
      <c r="AD82" s="11"/>
      <c r="AE82" s="11"/>
      <c r="AF82" s="44"/>
      <c r="AG82" s="11" t="s">
        <v>135</v>
      </c>
      <c r="AH82" s="199" t="s">
        <v>135</v>
      </c>
      <c r="AI82" s="199"/>
      <c r="AJ82" s="199"/>
      <c r="AL82" s="1035" t="s">
        <v>891</v>
      </c>
      <c r="AM82" s="1036" t="s">
        <v>738</v>
      </c>
      <c r="AN82" s="1037">
        <v>2550000</v>
      </c>
      <c r="AO82" s="1041">
        <v>0</v>
      </c>
      <c r="AP82" s="971">
        <v>2550000</v>
      </c>
      <c r="AQ82" s="1039">
        <v>0</v>
      </c>
      <c r="AR82" s="973">
        <v>276250</v>
      </c>
      <c r="AS82" s="974">
        <v>346880</v>
      </c>
      <c r="AT82" s="975">
        <v>3173130</v>
      </c>
      <c r="AU82" s="976">
        <v>2550156</v>
      </c>
      <c r="AV82" s="977">
        <v>3315000</v>
      </c>
      <c r="AW82" s="1040">
        <v>276250</v>
      </c>
      <c r="AX82" s="987">
        <v>276250</v>
      </c>
    </row>
    <row r="83" spans="10:50" ht="17.25">
      <c r="J83" s="1228"/>
      <c r="K83" s="40"/>
      <c r="L83" s="9"/>
      <c r="M83" s="9"/>
      <c r="N83" s="43"/>
      <c r="O83" s="9" t="s">
        <v>135</v>
      </c>
      <c r="P83" s="198" t="s">
        <v>135</v>
      </c>
      <c r="Q83" s="198" t="s">
        <v>135</v>
      </c>
      <c r="R83" s="198"/>
      <c r="S83" s="165"/>
      <c r="T83" s="40"/>
      <c r="U83" s="9"/>
      <c r="V83" s="43"/>
      <c r="W83" s="9"/>
      <c r="X83" s="9" t="s">
        <v>135</v>
      </c>
      <c r="Y83" s="198" t="s">
        <v>135</v>
      </c>
      <c r="Z83" s="198"/>
      <c r="AA83" s="198"/>
      <c r="AB83" s="165"/>
      <c r="AC83" s="40"/>
      <c r="AD83" s="9"/>
      <c r="AE83" s="43"/>
      <c r="AF83" s="9"/>
      <c r="AG83" s="9" t="s">
        <v>135</v>
      </c>
      <c r="AH83" s="198" t="s">
        <v>135</v>
      </c>
      <c r="AI83" s="198"/>
      <c r="AJ83" s="198"/>
      <c r="AL83" s="1035" t="s">
        <v>892</v>
      </c>
      <c r="AM83" s="1036" t="s">
        <v>738</v>
      </c>
      <c r="AN83" s="1037">
        <v>2428000</v>
      </c>
      <c r="AO83" s="1041">
        <v>0</v>
      </c>
      <c r="AP83" s="971">
        <v>2428000</v>
      </c>
      <c r="AQ83" s="1039">
        <v>0</v>
      </c>
      <c r="AR83" s="973">
        <v>263033</v>
      </c>
      <c r="AS83" s="974">
        <v>330290</v>
      </c>
      <c r="AT83" s="975">
        <v>3021323</v>
      </c>
      <c r="AU83" s="976">
        <v>2427831</v>
      </c>
      <c r="AV83" s="977">
        <v>3156400</v>
      </c>
      <c r="AW83" s="1040">
        <v>263033</v>
      </c>
      <c r="AX83" s="987">
        <v>263033</v>
      </c>
    </row>
    <row r="84" spans="10:50" ht="17.25">
      <c r="J84" s="1228"/>
      <c r="K84" s="41"/>
      <c r="L84" s="11"/>
      <c r="M84" s="44"/>
      <c r="N84" s="11"/>
      <c r="O84" s="11" t="s">
        <v>135</v>
      </c>
      <c r="P84" s="199" t="s">
        <v>135</v>
      </c>
      <c r="Q84" s="199" t="s">
        <v>135</v>
      </c>
      <c r="R84" s="199"/>
      <c r="S84" s="165"/>
      <c r="T84" s="41"/>
      <c r="U84" s="11"/>
      <c r="V84" s="11"/>
      <c r="W84" s="11"/>
      <c r="X84" s="11" t="s">
        <v>135</v>
      </c>
      <c r="Y84" s="12" t="s">
        <v>135</v>
      </c>
      <c r="Z84" s="12"/>
      <c r="AA84" s="12"/>
      <c r="AB84" s="165"/>
      <c r="AC84" s="41"/>
      <c r="AD84" s="11"/>
      <c r="AE84" s="11"/>
      <c r="AF84" s="11"/>
      <c r="AG84" s="11" t="s">
        <v>135</v>
      </c>
      <c r="AH84" s="12" t="s">
        <v>135</v>
      </c>
      <c r="AI84" s="12"/>
      <c r="AJ84" s="12"/>
      <c r="AL84" s="1035" t="s">
        <v>893</v>
      </c>
      <c r="AM84" s="1036" t="s">
        <v>738</v>
      </c>
      <c r="AN84" s="1037">
        <v>2270000</v>
      </c>
      <c r="AO84" s="1041">
        <v>0</v>
      </c>
      <c r="AP84" s="971">
        <v>2270000</v>
      </c>
      <c r="AQ84" s="1039">
        <v>0</v>
      </c>
      <c r="AR84" s="973">
        <v>245917</v>
      </c>
      <c r="AS84" s="974">
        <v>308790</v>
      </c>
      <c r="AT84" s="975">
        <v>2824707</v>
      </c>
      <c r="AU84" s="976">
        <v>2270192</v>
      </c>
      <c r="AV84" s="977">
        <v>2951000</v>
      </c>
      <c r="AW84" s="1040">
        <v>245917</v>
      </c>
      <c r="AX84" s="987">
        <v>245917</v>
      </c>
    </row>
    <row r="85" spans="10:50" ht="17.25">
      <c r="J85" s="1228"/>
      <c r="K85" s="40"/>
      <c r="L85" s="9"/>
      <c r="M85" s="9"/>
      <c r="N85" s="9"/>
      <c r="O85" s="9" t="s">
        <v>135</v>
      </c>
      <c r="P85" s="10" t="s">
        <v>135</v>
      </c>
      <c r="Q85" s="10" t="s">
        <v>135</v>
      </c>
      <c r="R85" s="10"/>
      <c r="S85" s="165"/>
      <c r="T85" s="40"/>
      <c r="U85" s="9"/>
      <c r="V85" s="9"/>
      <c r="W85" s="9"/>
      <c r="X85" s="43" t="s">
        <v>135</v>
      </c>
      <c r="Y85" s="198" t="s">
        <v>135</v>
      </c>
      <c r="Z85" s="198"/>
      <c r="AA85" s="198"/>
      <c r="AB85" s="165"/>
      <c r="AC85" s="40"/>
      <c r="AD85" s="9"/>
      <c r="AE85" s="9"/>
      <c r="AF85" s="9"/>
      <c r="AG85" s="43" t="s">
        <v>135</v>
      </c>
      <c r="AH85" s="198" t="s">
        <v>135</v>
      </c>
      <c r="AI85" s="198"/>
      <c r="AJ85" s="198"/>
      <c r="AL85" s="1035" t="s">
        <v>894</v>
      </c>
      <c r="AM85" s="1036" t="s">
        <v>738</v>
      </c>
      <c r="AN85" s="1037">
        <v>2500000</v>
      </c>
      <c r="AO85" s="1041">
        <v>0</v>
      </c>
      <c r="AP85" s="971">
        <v>2500000</v>
      </c>
      <c r="AQ85" s="1039">
        <v>0</v>
      </c>
      <c r="AR85" s="973">
        <v>270833</v>
      </c>
      <c r="AS85" s="974">
        <v>340080</v>
      </c>
      <c r="AT85" s="975">
        <v>3110913</v>
      </c>
      <c r="AU85" s="976">
        <v>2500000</v>
      </c>
      <c r="AV85" s="977">
        <v>3250000</v>
      </c>
      <c r="AW85" s="1040">
        <v>270833</v>
      </c>
      <c r="AX85" s="987">
        <v>270833</v>
      </c>
    </row>
    <row r="86" spans="10:50" ht="17.25">
      <c r="J86" s="1228"/>
      <c r="K86" s="41"/>
      <c r="L86" s="11"/>
      <c r="M86" s="11"/>
      <c r="N86" s="11"/>
      <c r="O86" s="44" t="s">
        <v>135</v>
      </c>
      <c r="P86" s="199" t="s">
        <v>135</v>
      </c>
      <c r="Q86" s="199" t="s">
        <v>135</v>
      </c>
      <c r="R86" s="199"/>
      <c r="S86" s="165"/>
      <c r="T86" s="41"/>
      <c r="U86" s="11"/>
      <c r="V86" s="11"/>
      <c r="W86" s="44"/>
      <c r="X86" s="11" t="s">
        <v>135</v>
      </c>
      <c r="Y86" s="199" t="s">
        <v>135</v>
      </c>
      <c r="Z86" s="199"/>
      <c r="AA86" s="199"/>
      <c r="AB86" s="165"/>
      <c r="AC86" s="41"/>
      <c r="AD86" s="11"/>
      <c r="AE86" s="11"/>
      <c r="AF86" s="44"/>
      <c r="AG86" s="11" t="s">
        <v>135</v>
      </c>
      <c r="AH86" s="199" t="s">
        <v>135</v>
      </c>
      <c r="AI86" s="199"/>
      <c r="AJ86" s="199"/>
      <c r="AL86" s="1035" t="s">
        <v>895</v>
      </c>
      <c r="AM86" s="1036" t="s">
        <v>738</v>
      </c>
      <c r="AN86" s="1037">
        <v>2500000</v>
      </c>
      <c r="AO86" s="1041">
        <v>0</v>
      </c>
      <c r="AP86" s="971">
        <v>2500000</v>
      </c>
      <c r="AQ86" s="1039">
        <v>0</v>
      </c>
      <c r="AR86" s="973">
        <v>270833</v>
      </c>
      <c r="AS86" s="974">
        <v>340080</v>
      </c>
      <c r="AT86" s="975">
        <v>3110913</v>
      </c>
      <c r="AU86" s="976">
        <v>2500000</v>
      </c>
      <c r="AV86" s="977">
        <v>3250000</v>
      </c>
      <c r="AW86" s="1040">
        <v>270833</v>
      </c>
      <c r="AX86" s="987">
        <v>270833</v>
      </c>
    </row>
    <row r="87" spans="10:50" ht="17.25">
      <c r="J87" s="1228"/>
      <c r="K87" s="40"/>
      <c r="L87" s="9"/>
      <c r="M87" s="9"/>
      <c r="N87" s="43"/>
      <c r="O87" s="9" t="s">
        <v>135</v>
      </c>
      <c r="P87" s="198" t="s">
        <v>135</v>
      </c>
      <c r="Q87" s="198" t="s">
        <v>135</v>
      </c>
      <c r="R87" s="198"/>
      <c r="S87" s="165"/>
      <c r="T87" s="40"/>
      <c r="U87" s="9"/>
      <c r="V87" s="43"/>
      <c r="W87" s="9"/>
      <c r="X87" s="9" t="s">
        <v>135</v>
      </c>
      <c r="Y87" s="198" t="s">
        <v>135</v>
      </c>
      <c r="Z87" s="198"/>
      <c r="AA87" s="198"/>
      <c r="AB87" s="165"/>
      <c r="AC87" s="40"/>
      <c r="AD87" s="9"/>
      <c r="AE87" s="43"/>
      <c r="AF87" s="9"/>
      <c r="AG87" s="9" t="s">
        <v>135</v>
      </c>
      <c r="AH87" s="198" t="s">
        <v>135</v>
      </c>
      <c r="AI87" s="198"/>
      <c r="AJ87" s="198"/>
      <c r="AL87" s="1035" t="s">
        <v>896</v>
      </c>
      <c r="AM87" s="1036" t="s">
        <v>738</v>
      </c>
      <c r="AN87" s="1037">
        <v>2200000</v>
      </c>
      <c r="AO87" s="1041">
        <v>0</v>
      </c>
      <c r="AP87" s="971">
        <v>2200000</v>
      </c>
      <c r="AQ87" s="1039">
        <v>0</v>
      </c>
      <c r="AR87" s="973">
        <v>238333</v>
      </c>
      <c r="AS87" s="974">
        <v>299270</v>
      </c>
      <c r="AT87" s="975">
        <v>2737603</v>
      </c>
      <c r="AU87" s="976">
        <v>2200000</v>
      </c>
      <c r="AV87" s="977">
        <v>2860000</v>
      </c>
      <c r="AW87" s="1040">
        <v>238333</v>
      </c>
      <c r="AX87" s="987">
        <v>238333</v>
      </c>
    </row>
    <row r="88" spans="10:50" ht="17.25">
      <c r="J88" s="1228"/>
      <c r="K88" s="41"/>
      <c r="L88" s="11"/>
      <c r="M88" s="44"/>
      <c r="N88" s="11"/>
      <c r="O88" s="11" t="s">
        <v>135</v>
      </c>
      <c r="P88" s="199" t="s">
        <v>135</v>
      </c>
      <c r="Q88" s="199" t="s">
        <v>135</v>
      </c>
      <c r="R88" s="199"/>
      <c r="S88" s="165"/>
      <c r="T88" s="41"/>
      <c r="U88" s="11"/>
      <c r="V88" s="11"/>
      <c r="W88" s="11"/>
      <c r="X88" s="11" t="s">
        <v>135</v>
      </c>
      <c r="Y88" s="12" t="s">
        <v>135</v>
      </c>
      <c r="Z88" s="12"/>
      <c r="AA88" s="12"/>
      <c r="AB88" s="165"/>
      <c r="AC88" s="41"/>
      <c r="AD88" s="11"/>
      <c r="AE88" s="11"/>
      <c r="AF88" s="11"/>
      <c r="AG88" s="11" t="s">
        <v>135</v>
      </c>
      <c r="AH88" s="12" t="s">
        <v>135</v>
      </c>
      <c r="AI88" s="12"/>
      <c r="AJ88" s="12"/>
      <c r="AL88" s="1035" t="s">
        <v>897</v>
      </c>
      <c r="AM88" s="1036" t="s">
        <v>738</v>
      </c>
      <c r="AN88" s="1037">
        <v>2200000</v>
      </c>
      <c r="AO88" s="1041">
        <v>0</v>
      </c>
      <c r="AP88" s="971">
        <v>2200000</v>
      </c>
      <c r="AQ88" s="1039">
        <v>0</v>
      </c>
      <c r="AR88" s="973">
        <v>238333</v>
      </c>
      <c r="AS88" s="974">
        <v>299270</v>
      </c>
      <c r="AT88" s="975">
        <v>2737603</v>
      </c>
      <c r="AU88" s="976">
        <v>2200000</v>
      </c>
      <c r="AV88" s="977">
        <v>2860000</v>
      </c>
      <c r="AW88" s="1040">
        <v>238333</v>
      </c>
      <c r="AX88" s="987">
        <v>238333</v>
      </c>
    </row>
    <row r="89" spans="10:50" ht="17.25">
      <c r="J89" s="1228"/>
      <c r="K89" s="40"/>
      <c r="L89" s="9"/>
      <c r="M89" s="9"/>
      <c r="N89" s="9"/>
      <c r="O89" s="9" t="s">
        <v>135</v>
      </c>
      <c r="P89" s="10" t="s">
        <v>135</v>
      </c>
      <c r="Q89" s="10" t="s">
        <v>135</v>
      </c>
      <c r="R89" s="10"/>
      <c r="S89" s="165"/>
      <c r="T89" s="40"/>
      <c r="U89" s="9"/>
      <c r="V89" s="9"/>
      <c r="W89" s="9"/>
      <c r="X89" s="43" t="s">
        <v>135</v>
      </c>
      <c r="Y89" s="198" t="s">
        <v>135</v>
      </c>
      <c r="Z89" s="198"/>
      <c r="AA89" s="198"/>
      <c r="AB89" s="165"/>
      <c r="AC89" s="40"/>
      <c r="AD89" s="9"/>
      <c r="AE89" s="9"/>
      <c r="AF89" s="9"/>
      <c r="AG89" s="43" t="s">
        <v>135</v>
      </c>
      <c r="AH89" s="198" t="s">
        <v>135</v>
      </c>
      <c r="AI89" s="198"/>
      <c r="AJ89" s="198"/>
      <c r="AL89" s="1035" t="s">
        <v>135</v>
      </c>
      <c r="AM89" s="1036" t="s">
        <v>135</v>
      </c>
      <c r="AN89" s="1037">
        <v>0</v>
      </c>
      <c r="AO89" s="1041">
        <v>0</v>
      </c>
      <c r="AP89" s="971">
        <v>0</v>
      </c>
      <c r="AQ89" s="1039">
        <v>0</v>
      </c>
      <c r="AR89" s="973">
        <v>0</v>
      </c>
      <c r="AS89" s="974">
        <v>0</v>
      </c>
      <c r="AT89" s="975" t="s">
        <v>135</v>
      </c>
      <c r="AU89" s="976">
        <v>0</v>
      </c>
      <c r="AV89" s="977">
        <v>0</v>
      </c>
      <c r="AW89" s="1040">
        <v>0</v>
      </c>
      <c r="AX89" s="987">
        <v>0</v>
      </c>
    </row>
    <row r="90" spans="10:50" ht="17.25">
      <c r="J90" s="1228"/>
      <c r="K90" s="41"/>
      <c r="L90" s="11"/>
      <c r="M90" s="11"/>
      <c r="N90" s="11"/>
      <c r="O90" s="44" t="s">
        <v>135</v>
      </c>
      <c r="P90" s="199" t="s">
        <v>135</v>
      </c>
      <c r="Q90" s="199" t="s">
        <v>135</v>
      </c>
      <c r="R90" s="199"/>
      <c r="S90" s="165"/>
      <c r="T90" s="41"/>
      <c r="U90" s="11"/>
      <c r="V90" s="11"/>
      <c r="W90" s="44"/>
      <c r="X90" s="11" t="s">
        <v>135</v>
      </c>
      <c r="Y90" s="199" t="s">
        <v>135</v>
      </c>
      <c r="Z90" s="199"/>
      <c r="AA90" s="199"/>
      <c r="AB90" s="165"/>
      <c r="AC90" s="41"/>
      <c r="AD90" s="11"/>
      <c r="AE90" s="11"/>
      <c r="AF90" s="44"/>
      <c r="AG90" s="11" t="s">
        <v>135</v>
      </c>
      <c r="AH90" s="199" t="s">
        <v>135</v>
      </c>
      <c r="AI90" s="199"/>
      <c r="AJ90" s="199"/>
      <c r="AL90" s="1035" t="s">
        <v>135</v>
      </c>
      <c r="AM90" s="1036" t="s">
        <v>135</v>
      </c>
      <c r="AN90" s="1037">
        <v>0</v>
      </c>
      <c r="AO90" s="1041">
        <v>0</v>
      </c>
      <c r="AP90" s="971">
        <v>0</v>
      </c>
      <c r="AQ90" s="1039">
        <v>0</v>
      </c>
      <c r="AR90" s="973">
        <v>0</v>
      </c>
      <c r="AS90" s="974">
        <v>0</v>
      </c>
      <c r="AT90" s="975" t="s">
        <v>135</v>
      </c>
      <c r="AU90" s="976">
        <v>0</v>
      </c>
      <c r="AV90" s="977">
        <v>0</v>
      </c>
      <c r="AW90" s="1040">
        <v>0</v>
      </c>
      <c r="AX90" s="987">
        <v>0</v>
      </c>
    </row>
    <row r="91" spans="10:50" ht="17.25">
      <c r="J91" s="1228"/>
      <c r="K91" s="40"/>
      <c r="L91" s="9"/>
      <c r="M91" s="9"/>
      <c r="N91" s="43"/>
      <c r="O91" s="9" t="s">
        <v>135</v>
      </c>
      <c r="P91" s="198" t="s">
        <v>135</v>
      </c>
      <c r="Q91" s="198" t="s">
        <v>135</v>
      </c>
      <c r="R91" s="198"/>
      <c r="S91" s="165"/>
      <c r="T91" s="40"/>
      <c r="U91" s="9"/>
      <c r="V91" s="43"/>
      <c r="W91" s="9"/>
      <c r="X91" s="9" t="s">
        <v>135</v>
      </c>
      <c r="Y91" s="198" t="s">
        <v>135</v>
      </c>
      <c r="Z91" s="198"/>
      <c r="AA91" s="198"/>
      <c r="AB91" s="165"/>
      <c r="AC91" s="40"/>
      <c r="AD91" s="9"/>
      <c r="AE91" s="43"/>
      <c r="AF91" s="9"/>
      <c r="AG91" s="9" t="s">
        <v>135</v>
      </c>
      <c r="AH91" s="198" t="s">
        <v>135</v>
      </c>
      <c r="AI91" s="198"/>
      <c r="AJ91" s="198"/>
      <c r="AL91" s="1035" t="s">
        <v>135</v>
      </c>
      <c r="AM91" s="1036" t="s">
        <v>135</v>
      </c>
      <c r="AN91" s="1037">
        <v>0</v>
      </c>
      <c r="AO91" s="1041">
        <v>0</v>
      </c>
      <c r="AP91" s="971">
        <v>0</v>
      </c>
      <c r="AQ91" s="1039">
        <v>0</v>
      </c>
      <c r="AR91" s="973">
        <v>0</v>
      </c>
      <c r="AS91" s="974">
        <v>0</v>
      </c>
      <c r="AT91" s="975" t="s">
        <v>135</v>
      </c>
      <c r="AU91" s="976">
        <v>0</v>
      </c>
      <c r="AV91" s="977">
        <v>0</v>
      </c>
      <c r="AW91" s="1040">
        <v>0</v>
      </c>
      <c r="AX91" s="987">
        <v>0</v>
      </c>
    </row>
    <row r="92" spans="10:50" ht="17.25">
      <c r="J92" s="1228"/>
      <c r="K92" s="41"/>
      <c r="L92" s="11"/>
      <c r="M92" s="44"/>
      <c r="N92" s="11"/>
      <c r="O92" s="11" t="s">
        <v>135</v>
      </c>
      <c r="P92" s="199" t="s">
        <v>135</v>
      </c>
      <c r="Q92" s="199" t="s">
        <v>135</v>
      </c>
      <c r="R92" s="199"/>
      <c r="S92" s="165"/>
      <c r="T92" s="41"/>
      <c r="U92" s="11"/>
      <c r="V92" s="11"/>
      <c r="W92" s="11"/>
      <c r="X92" s="11" t="s">
        <v>135</v>
      </c>
      <c r="Y92" s="12" t="s">
        <v>135</v>
      </c>
      <c r="Z92" s="12"/>
      <c r="AA92" s="12"/>
      <c r="AB92" s="165"/>
      <c r="AC92" s="41"/>
      <c r="AD92" s="11"/>
      <c r="AE92" s="11"/>
      <c r="AF92" s="11"/>
      <c r="AG92" s="11" t="s">
        <v>135</v>
      </c>
      <c r="AH92" s="12" t="s">
        <v>135</v>
      </c>
      <c r="AI92" s="12"/>
      <c r="AJ92" s="12"/>
      <c r="AL92" s="1035" t="s">
        <v>135</v>
      </c>
      <c r="AM92" s="1036" t="s">
        <v>135</v>
      </c>
      <c r="AN92" s="1037">
        <v>0</v>
      </c>
      <c r="AO92" s="1041">
        <v>0</v>
      </c>
      <c r="AP92" s="971">
        <v>0</v>
      </c>
      <c r="AQ92" s="1039">
        <v>0</v>
      </c>
      <c r="AR92" s="973">
        <v>0</v>
      </c>
      <c r="AS92" s="974">
        <v>0</v>
      </c>
      <c r="AT92" s="975" t="s">
        <v>135</v>
      </c>
      <c r="AU92" s="976">
        <v>0</v>
      </c>
      <c r="AV92" s="977">
        <v>0</v>
      </c>
      <c r="AW92" s="1040">
        <v>0</v>
      </c>
      <c r="AX92" s="987">
        <v>0</v>
      </c>
    </row>
    <row r="93" spans="10:50" ht="17.25">
      <c r="J93" s="1228"/>
      <c r="K93" s="40"/>
      <c r="L93" s="9"/>
      <c r="M93" s="9"/>
      <c r="N93" s="9"/>
      <c r="O93" s="9" t="s">
        <v>135</v>
      </c>
      <c r="P93" s="10" t="s">
        <v>135</v>
      </c>
      <c r="Q93" s="10" t="s">
        <v>135</v>
      </c>
      <c r="R93" s="10"/>
      <c r="S93" s="165"/>
      <c r="T93" s="40"/>
      <c r="U93" s="9"/>
      <c r="V93" s="9"/>
      <c r="W93" s="9"/>
      <c r="X93" s="9" t="s">
        <v>135</v>
      </c>
      <c r="Y93" s="10" t="s">
        <v>135</v>
      </c>
      <c r="Z93" s="10"/>
      <c r="AA93" s="10"/>
      <c r="AB93" s="165"/>
      <c r="AC93" s="40"/>
      <c r="AD93" s="9"/>
      <c r="AE93" s="9"/>
      <c r="AF93" s="9"/>
      <c r="AG93" s="9" t="s">
        <v>135</v>
      </c>
      <c r="AH93" s="10" t="s">
        <v>135</v>
      </c>
      <c r="AI93" s="10"/>
      <c r="AJ93" s="10"/>
      <c r="AL93" s="1035" t="s">
        <v>135</v>
      </c>
      <c r="AM93" s="1036" t="s">
        <v>135</v>
      </c>
      <c r="AN93" s="1037">
        <v>0</v>
      </c>
      <c r="AO93" s="1041">
        <v>0</v>
      </c>
      <c r="AP93" s="971">
        <v>0</v>
      </c>
      <c r="AQ93" s="1039">
        <v>0</v>
      </c>
      <c r="AR93" s="973">
        <v>0</v>
      </c>
      <c r="AS93" s="974">
        <v>0</v>
      </c>
      <c r="AT93" s="975" t="s">
        <v>135</v>
      </c>
      <c r="AU93" s="976">
        <v>0</v>
      </c>
      <c r="AV93" s="977">
        <v>0</v>
      </c>
      <c r="AW93" s="1040">
        <v>0</v>
      </c>
      <c r="AX93" s="987">
        <v>0</v>
      </c>
    </row>
    <row r="94" spans="10:50" ht="17.25">
      <c r="J94" s="1228"/>
      <c r="K94" s="41"/>
      <c r="L94" s="11"/>
      <c r="M94" s="11"/>
      <c r="N94" s="11"/>
      <c r="O94" s="44" t="s">
        <v>135</v>
      </c>
      <c r="P94" s="199" t="s">
        <v>135</v>
      </c>
      <c r="Q94" s="199" t="s">
        <v>135</v>
      </c>
      <c r="R94" s="199"/>
      <c r="S94" s="165"/>
      <c r="T94" s="41"/>
      <c r="U94" s="11"/>
      <c r="V94" s="11"/>
      <c r="W94" s="11"/>
      <c r="X94" s="44" t="s">
        <v>135</v>
      </c>
      <c r="Y94" s="199" t="s">
        <v>135</v>
      </c>
      <c r="Z94" s="199"/>
      <c r="AA94" s="199"/>
      <c r="AB94" s="165"/>
      <c r="AC94" s="41"/>
      <c r="AD94" s="11"/>
      <c r="AE94" s="11"/>
      <c r="AF94" s="11"/>
      <c r="AG94" s="44" t="s">
        <v>135</v>
      </c>
      <c r="AH94" s="199" t="s">
        <v>135</v>
      </c>
      <c r="AI94" s="199"/>
      <c r="AJ94" s="199"/>
      <c r="AL94" s="1035" t="s">
        <v>135</v>
      </c>
      <c r="AM94" s="1036" t="s">
        <v>135</v>
      </c>
      <c r="AN94" s="1037">
        <v>0</v>
      </c>
      <c r="AO94" s="1041">
        <v>0</v>
      </c>
      <c r="AP94" s="971">
        <v>0</v>
      </c>
      <c r="AQ94" s="1039">
        <v>0</v>
      </c>
      <c r="AR94" s="973">
        <v>0</v>
      </c>
      <c r="AS94" s="974">
        <v>0</v>
      </c>
      <c r="AT94" s="975" t="s">
        <v>135</v>
      </c>
      <c r="AU94" s="976">
        <v>0</v>
      </c>
      <c r="AV94" s="977">
        <v>0</v>
      </c>
      <c r="AW94" s="1040">
        <v>0</v>
      </c>
      <c r="AX94" s="987">
        <v>0</v>
      </c>
    </row>
    <row r="95" spans="10:50" ht="17.25">
      <c r="J95" s="1228"/>
      <c r="K95" s="40"/>
      <c r="L95" s="9"/>
      <c r="M95" s="9"/>
      <c r="N95" s="43"/>
      <c r="O95" s="9" t="s">
        <v>135</v>
      </c>
      <c r="P95" s="198" t="s">
        <v>135</v>
      </c>
      <c r="Q95" s="198" t="s">
        <v>135</v>
      </c>
      <c r="R95" s="198"/>
      <c r="S95" s="165"/>
      <c r="T95" s="40"/>
      <c r="U95" s="9"/>
      <c r="V95" s="9"/>
      <c r="W95" s="43"/>
      <c r="X95" s="9" t="s">
        <v>135</v>
      </c>
      <c r="Y95" s="198" t="s">
        <v>135</v>
      </c>
      <c r="Z95" s="198"/>
      <c r="AA95" s="198"/>
      <c r="AB95" s="165"/>
      <c r="AC95" s="40"/>
      <c r="AD95" s="9"/>
      <c r="AE95" s="9"/>
      <c r="AF95" s="43"/>
      <c r="AG95" s="9" t="s">
        <v>135</v>
      </c>
      <c r="AH95" s="198" t="s">
        <v>135</v>
      </c>
      <c r="AI95" s="198"/>
      <c r="AJ95" s="198"/>
      <c r="AL95" s="1035" t="s">
        <v>135</v>
      </c>
      <c r="AM95" s="1036" t="s">
        <v>135</v>
      </c>
      <c r="AN95" s="1037">
        <v>0</v>
      </c>
      <c r="AO95" s="1041">
        <v>0</v>
      </c>
      <c r="AP95" s="971">
        <v>0</v>
      </c>
      <c r="AQ95" s="1039">
        <v>0</v>
      </c>
      <c r="AR95" s="973">
        <v>0</v>
      </c>
      <c r="AS95" s="974">
        <v>0</v>
      </c>
      <c r="AT95" s="975" t="s">
        <v>135</v>
      </c>
      <c r="AU95" s="976">
        <v>0</v>
      </c>
      <c r="AV95" s="977">
        <v>0</v>
      </c>
      <c r="AW95" s="1040">
        <v>0</v>
      </c>
      <c r="AX95" s="987">
        <v>0</v>
      </c>
    </row>
    <row r="96" spans="10:50" ht="17.25">
      <c r="J96" s="1228"/>
      <c r="K96" s="41"/>
      <c r="L96" s="11"/>
      <c r="M96" s="44"/>
      <c r="N96" s="11"/>
      <c r="O96" s="11" t="s">
        <v>135</v>
      </c>
      <c r="P96" s="199" t="s">
        <v>135</v>
      </c>
      <c r="Q96" s="199" t="s">
        <v>135</v>
      </c>
      <c r="R96" s="199"/>
      <c r="S96" s="165"/>
      <c r="T96" s="41"/>
      <c r="U96" s="11"/>
      <c r="V96" s="44"/>
      <c r="W96" s="11"/>
      <c r="X96" s="11" t="s">
        <v>135</v>
      </c>
      <c r="Y96" s="199" t="s">
        <v>135</v>
      </c>
      <c r="Z96" s="199"/>
      <c r="AA96" s="199"/>
      <c r="AB96" s="165"/>
      <c r="AC96" s="41"/>
      <c r="AD96" s="11"/>
      <c r="AE96" s="44"/>
      <c r="AF96" s="11"/>
      <c r="AG96" s="11" t="s">
        <v>135</v>
      </c>
      <c r="AH96" s="199" t="s">
        <v>135</v>
      </c>
      <c r="AI96" s="199"/>
      <c r="AJ96" s="199"/>
      <c r="AL96" s="1035" t="s">
        <v>135</v>
      </c>
      <c r="AM96" s="1036" t="s">
        <v>135</v>
      </c>
      <c r="AN96" s="1037">
        <v>0</v>
      </c>
      <c r="AO96" s="1041">
        <v>0</v>
      </c>
      <c r="AP96" s="971">
        <v>0</v>
      </c>
      <c r="AQ96" s="1039">
        <v>0</v>
      </c>
      <c r="AR96" s="973">
        <v>0</v>
      </c>
      <c r="AS96" s="974">
        <v>0</v>
      </c>
      <c r="AT96" s="975" t="s">
        <v>135</v>
      </c>
      <c r="AU96" s="976">
        <v>0</v>
      </c>
      <c r="AV96" s="977">
        <v>0</v>
      </c>
      <c r="AW96" s="1040">
        <v>0</v>
      </c>
      <c r="AX96" s="987">
        <v>0</v>
      </c>
    </row>
    <row r="97" spans="10:50" ht="17.25">
      <c r="J97" s="1228"/>
      <c r="K97" s="40"/>
      <c r="L97" s="9"/>
      <c r="M97" s="9"/>
      <c r="N97" s="9"/>
      <c r="O97" s="9" t="s">
        <v>135</v>
      </c>
      <c r="P97" s="10" t="s">
        <v>135</v>
      </c>
      <c r="Q97" s="10" t="s">
        <v>135</v>
      </c>
      <c r="R97" s="10"/>
      <c r="S97" s="165"/>
      <c r="T97" s="40"/>
      <c r="U97" s="9"/>
      <c r="V97" s="9"/>
      <c r="W97" s="9"/>
      <c r="X97" s="9" t="s">
        <v>135</v>
      </c>
      <c r="Y97" s="10" t="s">
        <v>135</v>
      </c>
      <c r="Z97" s="10"/>
      <c r="AA97" s="10"/>
      <c r="AB97" s="165"/>
      <c r="AC97" s="40"/>
      <c r="AD97" s="9"/>
      <c r="AE97" s="9"/>
      <c r="AF97" s="9"/>
      <c r="AG97" s="9" t="s">
        <v>135</v>
      </c>
      <c r="AH97" s="10" t="s">
        <v>135</v>
      </c>
      <c r="AI97" s="10"/>
      <c r="AJ97" s="10"/>
      <c r="AL97" s="1035" t="s">
        <v>135</v>
      </c>
      <c r="AM97" s="1036" t="s">
        <v>135</v>
      </c>
      <c r="AN97" s="1037">
        <v>0</v>
      </c>
      <c r="AO97" s="1041">
        <v>0</v>
      </c>
      <c r="AP97" s="971">
        <v>0</v>
      </c>
      <c r="AQ97" s="1039">
        <v>0</v>
      </c>
      <c r="AR97" s="973">
        <v>0</v>
      </c>
      <c r="AS97" s="974">
        <v>0</v>
      </c>
      <c r="AT97" s="975" t="s">
        <v>135</v>
      </c>
      <c r="AU97" s="976">
        <v>0</v>
      </c>
      <c r="AV97" s="977">
        <v>0</v>
      </c>
      <c r="AW97" s="1040">
        <v>0</v>
      </c>
      <c r="AX97" s="987">
        <v>0</v>
      </c>
    </row>
    <row r="98" spans="10:50" ht="17.25">
      <c r="J98" s="1228"/>
      <c r="K98" s="41"/>
      <c r="L98" s="11"/>
      <c r="M98" s="11"/>
      <c r="N98" s="11"/>
      <c r="O98" s="44" t="s">
        <v>135</v>
      </c>
      <c r="P98" s="199" t="s">
        <v>135</v>
      </c>
      <c r="Q98" s="199" t="s">
        <v>135</v>
      </c>
      <c r="R98" s="199"/>
      <c r="S98" s="165"/>
      <c r="T98" s="41"/>
      <c r="U98" s="11"/>
      <c r="V98" s="11"/>
      <c r="W98" s="11"/>
      <c r="X98" s="44" t="s">
        <v>135</v>
      </c>
      <c r="Y98" s="199" t="s">
        <v>135</v>
      </c>
      <c r="Z98" s="199"/>
      <c r="AA98" s="199"/>
      <c r="AB98" s="165"/>
      <c r="AC98" s="41"/>
      <c r="AD98" s="11"/>
      <c r="AE98" s="11"/>
      <c r="AF98" s="11"/>
      <c r="AG98" s="44" t="s">
        <v>135</v>
      </c>
      <c r="AH98" s="199" t="s">
        <v>135</v>
      </c>
      <c r="AI98" s="199"/>
      <c r="AJ98" s="199"/>
      <c r="AL98" s="1035" t="s">
        <v>135</v>
      </c>
      <c r="AM98" s="1036" t="s">
        <v>135</v>
      </c>
      <c r="AN98" s="1037">
        <v>0</v>
      </c>
      <c r="AO98" s="1041">
        <v>0</v>
      </c>
      <c r="AP98" s="971">
        <v>0</v>
      </c>
      <c r="AQ98" s="1039">
        <v>0</v>
      </c>
      <c r="AR98" s="973">
        <v>0</v>
      </c>
      <c r="AS98" s="974">
        <v>0</v>
      </c>
      <c r="AT98" s="975" t="s">
        <v>135</v>
      </c>
      <c r="AU98" s="976">
        <v>0</v>
      </c>
      <c r="AV98" s="977">
        <v>0</v>
      </c>
      <c r="AW98" s="1040">
        <v>0</v>
      </c>
      <c r="AX98" s="987">
        <v>0</v>
      </c>
    </row>
    <row r="99" spans="10:50" ht="17.25">
      <c r="J99" s="1228"/>
      <c r="K99" s="40"/>
      <c r="L99" s="9"/>
      <c r="M99" s="9"/>
      <c r="N99" s="9"/>
      <c r="O99" s="9" t="s">
        <v>135</v>
      </c>
      <c r="P99" s="10" t="s">
        <v>135</v>
      </c>
      <c r="Q99" s="10" t="s">
        <v>135</v>
      </c>
      <c r="R99" s="10"/>
      <c r="S99" s="165"/>
      <c r="T99" s="40"/>
      <c r="U99" s="9"/>
      <c r="V99" s="9"/>
      <c r="W99" s="43"/>
      <c r="X99" s="9" t="s">
        <v>135</v>
      </c>
      <c r="Y99" s="198" t="s">
        <v>135</v>
      </c>
      <c r="Z99" s="198"/>
      <c r="AA99" s="198"/>
      <c r="AB99" s="165"/>
      <c r="AC99" s="40"/>
      <c r="AD99" s="9"/>
      <c r="AE99" s="9"/>
      <c r="AF99" s="43"/>
      <c r="AG99" s="9" t="s">
        <v>135</v>
      </c>
      <c r="AH99" s="198" t="s">
        <v>135</v>
      </c>
      <c r="AI99" s="198"/>
      <c r="AJ99" s="198"/>
      <c r="AL99" s="1035" t="s">
        <v>135</v>
      </c>
      <c r="AM99" s="1036" t="s">
        <v>135</v>
      </c>
      <c r="AN99" s="1037">
        <v>0</v>
      </c>
      <c r="AO99" s="1041">
        <v>0</v>
      </c>
      <c r="AP99" s="971">
        <v>0</v>
      </c>
      <c r="AQ99" s="1039">
        <v>0</v>
      </c>
      <c r="AR99" s="973">
        <v>0</v>
      </c>
      <c r="AS99" s="974">
        <v>0</v>
      </c>
      <c r="AT99" s="975" t="s">
        <v>135</v>
      </c>
      <c r="AU99" s="976">
        <v>0</v>
      </c>
      <c r="AV99" s="977">
        <v>0</v>
      </c>
      <c r="AW99" s="1040">
        <v>0</v>
      </c>
      <c r="AX99" s="987">
        <v>0</v>
      </c>
    </row>
    <row r="100" spans="10:50" ht="17.25">
      <c r="J100" s="1228"/>
      <c r="K100" s="41"/>
      <c r="L100" s="11"/>
      <c r="M100" s="11"/>
      <c r="N100" s="11"/>
      <c r="O100" s="44" t="s">
        <v>135</v>
      </c>
      <c r="P100" s="199" t="s">
        <v>135</v>
      </c>
      <c r="Q100" s="199" t="s">
        <v>135</v>
      </c>
      <c r="R100" s="199"/>
      <c r="S100" s="165"/>
      <c r="T100" s="41"/>
      <c r="U100" s="11"/>
      <c r="V100" s="44"/>
      <c r="W100" s="11"/>
      <c r="X100" s="11" t="s">
        <v>135</v>
      </c>
      <c r="Y100" s="199" t="s">
        <v>135</v>
      </c>
      <c r="Z100" s="199"/>
      <c r="AA100" s="199"/>
      <c r="AB100" s="165"/>
      <c r="AC100" s="41"/>
      <c r="AD100" s="11"/>
      <c r="AE100" s="44"/>
      <c r="AF100" s="11"/>
      <c r="AG100" s="11" t="s">
        <v>135</v>
      </c>
      <c r="AH100" s="199" t="s">
        <v>135</v>
      </c>
      <c r="AI100" s="199"/>
      <c r="AJ100" s="199"/>
      <c r="AL100" s="1035" t="s">
        <v>135</v>
      </c>
      <c r="AM100" s="1036" t="s">
        <v>135</v>
      </c>
      <c r="AN100" s="1037">
        <v>0</v>
      </c>
      <c r="AO100" s="1041">
        <v>0</v>
      </c>
      <c r="AP100" s="971">
        <v>0</v>
      </c>
      <c r="AQ100" s="1039">
        <v>0</v>
      </c>
      <c r="AR100" s="973">
        <v>0</v>
      </c>
      <c r="AS100" s="974">
        <v>0</v>
      </c>
      <c r="AT100" s="975" t="s">
        <v>135</v>
      </c>
      <c r="AU100" s="976">
        <v>0</v>
      </c>
      <c r="AV100" s="977">
        <v>0</v>
      </c>
      <c r="AW100" s="1040">
        <v>0</v>
      </c>
      <c r="AX100" s="987">
        <v>0</v>
      </c>
    </row>
    <row r="101" spans="10:50" ht="17.25">
      <c r="J101" s="1228"/>
      <c r="K101" s="40"/>
      <c r="L101" s="9"/>
      <c r="M101" s="9"/>
      <c r="N101" s="43"/>
      <c r="O101" s="9" t="s">
        <v>135</v>
      </c>
      <c r="P101" s="198" t="s">
        <v>135</v>
      </c>
      <c r="Q101" s="198" t="s">
        <v>135</v>
      </c>
      <c r="R101" s="198"/>
      <c r="S101" s="165"/>
      <c r="T101" s="40"/>
      <c r="U101" s="43"/>
      <c r="V101" s="9"/>
      <c r="W101" s="9"/>
      <c r="X101" s="9" t="s">
        <v>135</v>
      </c>
      <c r="Y101" s="198" t="s">
        <v>135</v>
      </c>
      <c r="Z101" s="198"/>
      <c r="AA101" s="198"/>
      <c r="AB101" s="165"/>
      <c r="AC101" s="40"/>
      <c r="AD101" s="43"/>
      <c r="AE101" s="9"/>
      <c r="AF101" s="9"/>
      <c r="AG101" s="9" t="s">
        <v>135</v>
      </c>
      <c r="AH101" s="198" t="s">
        <v>135</v>
      </c>
      <c r="AI101" s="198"/>
      <c r="AJ101" s="198"/>
      <c r="AL101" s="1035" t="s">
        <v>135</v>
      </c>
      <c r="AM101" s="1036" t="s">
        <v>135</v>
      </c>
      <c r="AN101" s="1037">
        <v>0</v>
      </c>
      <c r="AO101" s="1041">
        <v>0</v>
      </c>
      <c r="AP101" s="971">
        <v>0</v>
      </c>
      <c r="AQ101" s="1039">
        <v>0</v>
      </c>
      <c r="AR101" s="973">
        <v>0</v>
      </c>
      <c r="AS101" s="974">
        <v>0</v>
      </c>
      <c r="AT101" s="975" t="s">
        <v>135</v>
      </c>
      <c r="AU101" s="976">
        <v>0</v>
      </c>
      <c r="AV101" s="977">
        <v>0</v>
      </c>
      <c r="AW101" s="1040">
        <v>0</v>
      </c>
      <c r="AX101" s="987">
        <v>0</v>
      </c>
    </row>
    <row r="102" spans="10:50" ht="17.25">
      <c r="J102" s="1228"/>
      <c r="K102" s="41"/>
      <c r="L102" s="11"/>
      <c r="M102" s="44"/>
      <c r="N102" s="11"/>
      <c r="O102" s="11" t="s">
        <v>135</v>
      </c>
      <c r="P102" s="199" t="s">
        <v>135</v>
      </c>
      <c r="Q102" s="199" t="s">
        <v>135</v>
      </c>
      <c r="R102" s="199"/>
      <c r="S102" s="165"/>
      <c r="T102" s="41"/>
      <c r="U102" s="11"/>
      <c r="V102" s="11"/>
      <c r="W102" s="11"/>
      <c r="X102" s="11" t="s">
        <v>135</v>
      </c>
      <c r="Y102" s="12" t="s">
        <v>135</v>
      </c>
      <c r="Z102" s="12"/>
      <c r="AA102" s="12"/>
      <c r="AB102" s="165"/>
      <c r="AC102" s="41"/>
      <c r="AD102" s="11"/>
      <c r="AE102" s="11"/>
      <c r="AF102" s="11"/>
      <c r="AG102" s="11" t="s">
        <v>135</v>
      </c>
      <c r="AH102" s="12" t="s">
        <v>135</v>
      </c>
      <c r="AI102" s="12"/>
      <c r="AJ102" s="12"/>
      <c r="AL102" s="1035" t="s">
        <v>135</v>
      </c>
      <c r="AM102" s="1036" t="s">
        <v>135</v>
      </c>
      <c r="AN102" s="1037">
        <v>0</v>
      </c>
      <c r="AO102" s="1041">
        <v>0</v>
      </c>
      <c r="AP102" s="971">
        <v>0</v>
      </c>
      <c r="AQ102" s="1039">
        <v>0</v>
      </c>
      <c r="AR102" s="973">
        <v>0</v>
      </c>
      <c r="AS102" s="974">
        <v>0</v>
      </c>
      <c r="AT102" s="975" t="s">
        <v>135</v>
      </c>
      <c r="AU102" s="976">
        <v>0</v>
      </c>
      <c r="AV102" s="977">
        <v>0</v>
      </c>
      <c r="AW102" s="1040">
        <v>0</v>
      </c>
      <c r="AX102" s="987">
        <v>0</v>
      </c>
    </row>
    <row r="103" spans="10:50" ht="17.25">
      <c r="J103" s="1228"/>
      <c r="K103" s="40"/>
      <c r="L103" s="43"/>
      <c r="M103" s="9"/>
      <c r="N103" s="9"/>
      <c r="O103" s="9" t="s">
        <v>135</v>
      </c>
      <c r="P103" s="198" t="s">
        <v>135</v>
      </c>
      <c r="Q103" s="198" t="s">
        <v>135</v>
      </c>
      <c r="R103" s="198"/>
      <c r="S103" s="165"/>
      <c r="T103" s="40"/>
      <c r="U103" s="9"/>
      <c r="V103" s="9"/>
      <c r="W103" s="9"/>
      <c r="X103" s="9" t="s">
        <v>135</v>
      </c>
      <c r="Y103" s="10" t="s">
        <v>135</v>
      </c>
      <c r="Z103" s="10"/>
      <c r="AA103" s="10"/>
      <c r="AB103" s="165"/>
      <c r="AC103" s="40"/>
      <c r="AD103" s="9"/>
      <c r="AE103" s="9"/>
      <c r="AF103" s="9"/>
      <c r="AG103" s="9" t="s">
        <v>135</v>
      </c>
      <c r="AH103" s="10" t="s">
        <v>135</v>
      </c>
      <c r="AI103" s="10"/>
      <c r="AJ103" s="10"/>
      <c r="AL103" s="1035" t="s">
        <v>135</v>
      </c>
      <c r="AM103" s="1036" t="s">
        <v>135</v>
      </c>
      <c r="AN103" s="1037">
        <v>0</v>
      </c>
      <c r="AO103" s="1041">
        <v>0</v>
      </c>
      <c r="AP103" s="971">
        <v>0</v>
      </c>
      <c r="AQ103" s="1039">
        <v>0</v>
      </c>
      <c r="AR103" s="973">
        <v>0</v>
      </c>
      <c r="AS103" s="974">
        <v>0</v>
      </c>
      <c r="AT103" s="975" t="s">
        <v>135</v>
      </c>
      <c r="AU103" s="976">
        <v>0</v>
      </c>
      <c r="AV103" s="977">
        <v>0</v>
      </c>
      <c r="AW103" s="1040">
        <v>0</v>
      </c>
      <c r="AX103" s="987">
        <v>0</v>
      </c>
    </row>
    <row r="104" spans="10:50" ht="17.25">
      <c r="J104" s="1228"/>
      <c r="K104" s="41"/>
      <c r="L104" s="11"/>
      <c r="M104" s="11"/>
      <c r="N104" s="11"/>
      <c r="O104" s="11" t="s">
        <v>135</v>
      </c>
      <c r="P104" s="12" t="s">
        <v>135</v>
      </c>
      <c r="Q104" s="12" t="s">
        <v>135</v>
      </c>
      <c r="R104" s="12"/>
      <c r="S104" s="165"/>
      <c r="T104" s="41"/>
      <c r="U104" s="11"/>
      <c r="V104" s="11"/>
      <c r="W104" s="11"/>
      <c r="X104" s="11" t="s">
        <v>135</v>
      </c>
      <c r="Y104" s="12" t="s">
        <v>135</v>
      </c>
      <c r="Z104" s="12"/>
      <c r="AA104" s="12"/>
      <c r="AB104" s="165"/>
      <c r="AC104" s="41"/>
      <c r="AD104" s="11"/>
      <c r="AE104" s="11"/>
      <c r="AF104" s="11"/>
      <c r="AG104" s="11" t="s">
        <v>135</v>
      </c>
      <c r="AH104" s="12" t="s">
        <v>135</v>
      </c>
      <c r="AI104" s="12"/>
      <c r="AJ104" s="12"/>
      <c r="AL104" s="1035" t="s">
        <v>135</v>
      </c>
      <c r="AM104" s="1036" t="s">
        <v>135</v>
      </c>
      <c r="AN104" s="1037">
        <v>0</v>
      </c>
      <c r="AO104" s="1041">
        <v>0</v>
      </c>
      <c r="AP104" s="971">
        <v>0</v>
      </c>
      <c r="AQ104" s="1039">
        <v>0</v>
      </c>
      <c r="AR104" s="973">
        <v>0</v>
      </c>
      <c r="AS104" s="974">
        <v>0</v>
      </c>
      <c r="AT104" s="975" t="s">
        <v>135</v>
      </c>
      <c r="AU104" s="976">
        <v>0</v>
      </c>
      <c r="AV104" s="977">
        <v>0</v>
      </c>
      <c r="AW104" s="1040">
        <v>0</v>
      </c>
      <c r="AX104" s="987">
        <v>0</v>
      </c>
    </row>
    <row r="105" spans="10:50" ht="17.25">
      <c r="J105" s="1228"/>
      <c r="K105" s="40"/>
      <c r="L105" s="9"/>
      <c r="M105" s="9"/>
      <c r="N105" s="9"/>
      <c r="O105" s="9" t="s">
        <v>135</v>
      </c>
      <c r="P105" s="10" t="s">
        <v>135</v>
      </c>
      <c r="Q105" s="10" t="s">
        <v>135</v>
      </c>
      <c r="R105" s="10"/>
      <c r="S105" s="165"/>
      <c r="T105" s="40"/>
      <c r="U105" s="9"/>
      <c r="V105" s="9"/>
      <c r="W105" s="9"/>
      <c r="X105" s="9" t="s">
        <v>135</v>
      </c>
      <c r="Y105" s="10" t="s">
        <v>135</v>
      </c>
      <c r="Z105" s="10"/>
      <c r="AA105" s="10"/>
      <c r="AB105" s="165"/>
      <c r="AC105" s="40"/>
      <c r="AD105" s="9"/>
      <c r="AE105" s="9"/>
      <c r="AF105" s="9"/>
      <c r="AG105" s="9" t="s">
        <v>135</v>
      </c>
      <c r="AH105" s="10" t="s">
        <v>135</v>
      </c>
      <c r="AI105" s="10"/>
      <c r="AJ105" s="10"/>
      <c r="AL105" s="1035" t="s">
        <v>135</v>
      </c>
      <c r="AM105" s="1036" t="s">
        <v>135</v>
      </c>
      <c r="AN105" s="1037">
        <v>0</v>
      </c>
      <c r="AO105" s="1041">
        <v>0</v>
      </c>
      <c r="AP105" s="971">
        <v>0</v>
      </c>
      <c r="AQ105" s="1039">
        <v>0</v>
      </c>
      <c r="AR105" s="973">
        <v>0</v>
      </c>
      <c r="AS105" s="974">
        <v>0</v>
      </c>
      <c r="AT105" s="975" t="s">
        <v>135</v>
      </c>
      <c r="AU105" s="976">
        <v>0</v>
      </c>
      <c r="AV105" s="977">
        <v>0</v>
      </c>
      <c r="AW105" s="1040">
        <v>0</v>
      </c>
      <c r="AX105" s="987">
        <v>0</v>
      </c>
    </row>
    <row r="106" spans="10:50" ht="17.25">
      <c r="J106" s="1228"/>
      <c r="K106" s="41"/>
      <c r="L106" s="11"/>
      <c r="M106" s="11"/>
      <c r="N106" s="11"/>
      <c r="O106" s="11" t="s">
        <v>135</v>
      </c>
      <c r="P106" s="12" t="s">
        <v>135</v>
      </c>
      <c r="Q106" s="12" t="s">
        <v>135</v>
      </c>
      <c r="R106" s="12"/>
      <c r="S106" s="165"/>
      <c r="T106" s="41"/>
      <c r="U106" s="11"/>
      <c r="V106" s="11"/>
      <c r="W106" s="11"/>
      <c r="X106" s="11" t="s">
        <v>135</v>
      </c>
      <c r="Y106" s="12" t="s">
        <v>135</v>
      </c>
      <c r="Z106" s="12"/>
      <c r="AA106" s="12"/>
      <c r="AB106" s="165"/>
      <c r="AC106" s="41"/>
      <c r="AD106" s="11"/>
      <c r="AE106" s="11"/>
      <c r="AF106" s="11"/>
      <c r="AG106" s="11" t="s">
        <v>135</v>
      </c>
      <c r="AH106" s="12" t="s">
        <v>135</v>
      </c>
      <c r="AI106" s="12"/>
      <c r="AJ106" s="12"/>
      <c r="AL106" s="1035" t="s">
        <v>135</v>
      </c>
      <c r="AM106" s="1036" t="s">
        <v>135</v>
      </c>
      <c r="AN106" s="1037">
        <v>0</v>
      </c>
      <c r="AO106" s="1041">
        <v>0</v>
      </c>
      <c r="AP106" s="971">
        <v>0</v>
      </c>
      <c r="AQ106" s="1039">
        <v>0</v>
      </c>
      <c r="AR106" s="973">
        <v>0</v>
      </c>
      <c r="AS106" s="974">
        <v>0</v>
      </c>
      <c r="AT106" s="975" t="s">
        <v>135</v>
      </c>
      <c r="AU106" s="976">
        <v>0</v>
      </c>
      <c r="AV106" s="977">
        <v>0</v>
      </c>
      <c r="AW106" s="1040">
        <v>0</v>
      </c>
      <c r="AX106" s="987">
        <v>0</v>
      </c>
    </row>
    <row r="107" spans="10:50" ht="17.25">
      <c r="J107" s="1228"/>
      <c r="K107" s="40"/>
      <c r="L107" s="9"/>
      <c r="M107" s="9"/>
      <c r="N107" s="9"/>
      <c r="O107" s="9" t="s">
        <v>135</v>
      </c>
      <c r="P107" s="10" t="s">
        <v>135</v>
      </c>
      <c r="Q107" s="10" t="s">
        <v>135</v>
      </c>
      <c r="R107" s="10"/>
      <c r="S107" s="165"/>
      <c r="T107" s="40"/>
      <c r="U107" s="9"/>
      <c r="V107" s="9"/>
      <c r="W107" s="9"/>
      <c r="X107" s="9" t="s">
        <v>135</v>
      </c>
      <c r="Y107" s="10" t="s">
        <v>135</v>
      </c>
      <c r="Z107" s="10"/>
      <c r="AA107" s="10"/>
      <c r="AB107" s="165"/>
      <c r="AC107" s="40"/>
      <c r="AD107" s="9"/>
      <c r="AE107" s="9"/>
      <c r="AF107" s="9"/>
      <c r="AG107" s="9" t="s">
        <v>135</v>
      </c>
      <c r="AH107" s="10" t="s">
        <v>135</v>
      </c>
      <c r="AI107" s="10"/>
      <c r="AJ107" s="10"/>
      <c r="AL107" s="1035" t="s">
        <v>135</v>
      </c>
      <c r="AM107" s="1036" t="s">
        <v>135</v>
      </c>
      <c r="AN107" s="1037">
        <v>0</v>
      </c>
      <c r="AO107" s="1041">
        <v>0</v>
      </c>
      <c r="AP107" s="971">
        <v>0</v>
      </c>
      <c r="AQ107" s="1039">
        <v>0</v>
      </c>
      <c r="AR107" s="973">
        <v>0</v>
      </c>
      <c r="AS107" s="974">
        <v>0</v>
      </c>
      <c r="AT107" s="975" t="s">
        <v>135</v>
      </c>
      <c r="AU107" s="976">
        <v>0</v>
      </c>
      <c r="AV107" s="977">
        <v>0</v>
      </c>
      <c r="AW107" s="1040">
        <v>0</v>
      </c>
      <c r="AX107" s="987">
        <v>0</v>
      </c>
    </row>
    <row r="108" spans="10:50" ht="17.25">
      <c r="J108" s="1228"/>
      <c r="K108" s="41"/>
      <c r="L108" s="11"/>
      <c r="M108" s="11"/>
      <c r="N108" s="11"/>
      <c r="O108" s="11" t="s">
        <v>135</v>
      </c>
      <c r="P108" s="12" t="s">
        <v>135</v>
      </c>
      <c r="Q108" s="12" t="s">
        <v>135</v>
      </c>
      <c r="R108" s="12"/>
      <c r="S108" s="165"/>
      <c r="T108" s="41"/>
      <c r="U108" s="11"/>
      <c r="V108" s="11"/>
      <c r="W108" s="11"/>
      <c r="X108" s="11" t="s">
        <v>135</v>
      </c>
      <c r="Y108" s="12" t="s">
        <v>135</v>
      </c>
      <c r="Z108" s="12"/>
      <c r="AA108" s="12"/>
      <c r="AB108" s="165"/>
      <c r="AC108" s="41"/>
      <c r="AD108" s="11"/>
      <c r="AE108" s="11"/>
      <c r="AF108" s="11"/>
      <c r="AG108" s="11" t="s">
        <v>135</v>
      </c>
      <c r="AH108" s="12" t="s">
        <v>135</v>
      </c>
      <c r="AI108" s="12"/>
      <c r="AJ108" s="12"/>
      <c r="AL108" s="1035" t="s">
        <v>135</v>
      </c>
      <c r="AM108" s="1036" t="s">
        <v>135</v>
      </c>
      <c r="AN108" s="1037">
        <v>0</v>
      </c>
      <c r="AO108" s="1041">
        <v>0</v>
      </c>
      <c r="AP108" s="971">
        <v>0</v>
      </c>
      <c r="AQ108" s="1039">
        <v>0</v>
      </c>
      <c r="AR108" s="973">
        <v>0</v>
      </c>
      <c r="AS108" s="974">
        <v>0</v>
      </c>
      <c r="AT108" s="975" t="s">
        <v>135</v>
      </c>
      <c r="AU108" s="976">
        <v>0</v>
      </c>
      <c r="AV108" s="977">
        <v>0</v>
      </c>
      <c r="AW108" s="1040">
        <v>0</v>
      </c>
      <c r="AX108" s="987">
        <v>0</v>
      </c>
    </row>
    <row r="109" spans="10:50" ht="17.25">
      <c r="J109" s="1228"/>
      <c r="K109" s="40"/>
      <c r="L109" s="9"/>
      <c r="M109" s="9"/>
      <c r="N109" s="9"/>
      <c r="O109" s="9" t="s">
        <v>135</v>
      </c>
      <c r="P109" s="10" t="s">
        <v>135</v>
      </c>
      <c r="Q109" s="10" t="s">
        <v>135</v>
      </c>
      <c r="R109" s="10"/>
      <c r="S109" s="165"/>
      <c r="T109" s="40"/>
      <c r="U109" s="9"/>
      <c r="V109" s="9"/>
      <c r="W109" s="9"/>
      <c r="X109" s="9" t="s">
        <v>135</v>
      </c>
      <c r="Y109" s="10" t="s">
        <v>135</v>
      </c>
      <c r="Z109" s="10"/>
      <c r="AA109" s="10"/>
      <c r="AB109" s="165"/>
      <c r="AC109" s="40"/>
      <c r="AD109" s="9"/>
      <c r="AE109" s="9"/>
      <c r="AF109" s="9"/>
      <c r="AG109" s="9" t="s">
        <v>135</v>
      </c>
      <c r="AH109" s="10" t="s">
        <v>135</v>
      </c>
      <c r="AI109" s="10"/>
      <c r="AJ109" s="10"/>
      <c r="AL109" s="1035" t="s">
        <v>135</v>
      </c>
      <c r="AM109" s="1036" t="s">
        <v>135</v>
      </c>
      <c r="AN109" s="1037">
        <v>0</v>
      </c>
      <c r="AO109" s="1041">
        <v>0</v>
      </c>
      <c r="AP109" s="971">
        <v>0</v>
      </c>
      <c r="AQ109" s="1039">
        <v>0</v>
      </c>
      <c r="AR109" s="973">
        <v>0</v>
      </c>
      <c r="AS109" s="974">
        <v>0</v>
      </c>
      <c r="AT109" s="975" t="s">
        <v>135</v>
      </c>
      <c r="AU109" s="976">
        <v>0</v>
      </c>
      <c r="AV109" s="977">
        <v>0</v>
      </c>
      <c r="AW109" s="1040">
        <v>0</v>
      </c>
      <c r="AX109" s="987">
        <v>0</v>
      </c>
    </row>
    <row r="110" spans="10:50" ht="17.25">
      <c r="J110" s="1228"/>
      <c r="K110" s="41"/>
      <c r="L110" s="11"/>
      <c r="M110" s="11"/>
      <c r="N110" s="11"/>
      <c r="O110" s="11" t="s">
        <v>135</v>
      </c>
      <c r="P110" s="12" t="s">
        <v>135</v>
      </c>
      <c r="Q110" s="12" t="s">
        <v>135</v>
      </c>
      <c r="R110" s="12"/>
      <c r="S110" s="165"/>
      <c r="T110" s="41"/>
      <c r="U110" s="11"/>
      <c r="V110" s="11"/>
      <c r="W110" s="11"/>
      <c r="X110" s="11" t="s">
        <v>135</v>
      </c>
      <c r="Y110" s="12" t="s">
        <v>135</v>
      </c>
      <c r="Z110" s="12"/>
      <c r="AA110" s="12"/>
      <c r="AB110" s="165"/>
      <c r="AC110" s="41"/>
      <c r="AD110" s="11"/>
      <c r="AE110" s="11"/>
      <c r="AF110" s="11"/>
      <c r="AG110" s="11" t="s">
        <v>135</v>
      </c>
      <c r="AH110" s="12" t="s">
        <v>135</v>
      </c>
      <c r="AI110" s="12"/>
      <c r="AJ110" s="12"/>
      <c r="AL110" s="1035" t="s">
        <v>135</v>
      </c>
      <c r="AM110" s="1036" t="s">
        <v>135</v>
      </c>
      <c r="AN110" s="1037">
        <v>0</v>
      </c>
      <c r="AO110" s="1041">
        <v>0</v>
      </c>
      <c r="AP110" s="971">
        <v>0</v>
      </c>
      <c r="AQ110" s="1039">
        <v>0</v>
      </c>
      <c r="AR110" s="973">
        <v>0</v>
      </c>
      <c r="AS110" s="974">
        <v>0</v>
      </c>
      <c r="AT110" s="975" t="s">
        <v>135</v>
      </c>
      <c r="AU110" s="976">
        <v>0</v>
      </c>
      <c r="AV110" s="977">
        <v>0</v>
      </c>
      <c r="AW110" s="1040">
        <v>0</v>
      </c>
      <c r="AX110" s="987">
        <v>0</v>
      </c>
    </row>
    <row r="111" spans="10:50" ht="17.25">
      <c r="J111" s="1228"/>
      <c r="K111" s="40"/>
      <c r="L111" s="9"/>
      <c r="M111" s="9"/>
      <c r="N111" s="9"/>
      <c r="O111" s="9" t="s">
        <v>135</v>
      </c>
      <c r="P111" s="10" t="s">
        <v>135</v>
      </c>
      <c r="Q111" s="10" t="s">
        <v>135</v>
      </c>
      <c r="R111" s="10"/>
      <c r="S111" s="165"/>
      <c r="T111" s="40"/>
      <c r="U111" s="9"/>
      <c r="V111" s="9"/>
      <c r="W111" s="9"/>
      <c r="X111" s="9" t="s">
        <v>135</v>
      </c>
      <c r="Y111" s="10" t="s">
        <v>135</v>
      </c>
      <c r="Z111" s="10"/>
      <c r="AA111" s="10"/>
      <c r="AB111" s="165"/>
      <c r="AC111" s="40"/>
      <c r="AD111" s="9"/>
      <c r="AE111" s="9"/>
      <c r="AF111" s="9"/>
      <c r="AG111" s="9" t="s">
        <v>135</v>
      </c>
      <c r="AH111" s="10" t="s">
        <v>135</v>
      </c>
      <c r="AI111" s="10"/>
      <c r="AJ111" s="10"/>
      <c r="AL111" s="1035" t="s">
        <v>135</v>
      </c>
      <c r="AM111" s="1036" t="s">
        <v>135</v>
      </c>
      <c r="AN111" s="1037">
        <v>0</v>
      </c>
      <c r="AO111" s="1041">
        <v>0</v>
      </c>
      <c r="AP111" s="971">
        <v>0</v>
      </c>
      <c r="AQ111" s="1039">
        <v>0</v>
      </c>
      <c r="AR111" s="973">
        <v>0</v>
      </c>
      <c r="AS111" s="974">
        <v>0</v>
      </c>
      <c r="AT111" s="975" t="s">
        <v>135</v>
      </c>
      <c r="AU111" s="976">
        <v>0</v>
      </c>
      <c r="AV111" s="977">
        <v>0</v>
      </c>
      <c r="AW111" s="1040">
        <v>0</v>
      </c>
      <c r="AX111" s="987">
        <v>0</v>
      </c>
    </row>
    <row r="112" spans="10:50" ht="17.25">
      <c r="J112" s="1228"/>
      <c r="K112" s="41"/>
      <c r="L112" s="11"/>
      <c r="M112" s="11"/>
      <c r="N112" s="11"/>
      <c r="O112" s="11" t="s">
        <v>135</v>
      </c>
      <c r="P112" s="12" t="s">
        <v>135</v>
      </c>
      <c r="Q112" s="12" t="s">
        <v>135</v>
      </c>
      <c r="R112" s="12"/>
      <c r="S112" s="165"/>
      <c r="T112" s="41"/>
      <c r="U112" s="11"/>
      <c r="V112" s="11"/>
      <c r="W112" s="11"/>
      <c r="X112" s="11" t="s">
        <v>135</v>
      </c>
      <c r="Y112" s="12" t="s">
        <v>135</v>
      </c>
      <c r="Z112" s="12"/>
      <c r="AA112" s="12"/>
      <c r="AB112" s="165"/>
      <c r="AC112" s="41"/>
      <c r="AD112" s="11"/>
      <c r="AE112" s="11"/>
      <c r="AF112" s="11"/>
      <c r="AG112" s="11" t="s">
        <v>135</v>
      </c>
      <c r="AH112" s="12" t="s">
        <v>135</v>
      </c>
      <c r="AI112" s="12"/>
      <c r="AJ112" s="12"/>
      <c r="AL112" s="1035" t="s">
        <v>135</v>
      </c>
      <c r="AM112" s="1036" t="s">
        <v>135</v>
      </c>
      <c r="AN112" s="1037">
        <v>0</v>
      </c>
      <c r="AO112" s="1041">
        <v>0</v>
      </c>
      <c r="AP112" s="971">
        <v>0</v>
      </c>
      <c r="AQ112" s="1039">
        <v>0</v>
      </c>
      <c r="AR112" s="973">
        <v>0</v>
      </c>
      <c r="AS112" s="974">
        <v>0</v>
      </c>
      <c r="AT112" s="975" t="s">
        <v>135</v>
      </c>
      <c r="AU112" s="976">
        <v>0</v>
      </c>
      <c r="AV112" s="977">
        <v>0</v>
      </c>
      <c r="AW112" s="1040">
        <v>0</v>
      </c>
      <c r="AX112" s="987">
        <v>0</v>
      </c>
    </row>
    <row r="113" spans="10:50" ht="18" thickBot="1">
      <c r="J113" s="1229"/>
      <c r="K113" s="168"/>
      <c r="L113" s="169"/>
      <c r="M113" s="169"/>
      <c r="N113" s="169"/>
      <c r="O113" s="169" t="s">
        <v>135</v>
      </c>
      <c r="P113" s="170" t="s">
        <v>135</v>
      </c>
      <c r="Q113" s="170" t="s">
        <v>135</v>
      </c>
      <c r="R113" s="170"/>
      <c r="S113" s="165"/>
      <c r="T113" s="168"/>
      <c r="U113" s="169"/>
      <c r="V113" s="169"/>
      <c r="W113" s="169"/>
      <c r="X113" s="169" t="s">
        <v>135</v>
      </c>
      <c r="Y113" s="170" t="s">
        <v>135</v>
      </c>
      <c r="Z113" s="170"/>
      <c r="AA113" s="170"/>
      <c r="AB113" s="165"/>
      <c r="AC113" s="168"/>
      <c r="AD113" s="169"/>
      <c r="AE113" s="169"/>
      <c r="AF113" s="169"/>
      <c r="AG113" s="169" t="s">
        <v>135</v>
      </c>
      <c r="AH113" s="170" t="s">
        <v>135</v>
      </c>
      <c r="AI113" s="170"/>
      <c r="AJ113" s="170"/>
      <c r="AL113" s="1035" t="s">
        <v>135</v>
      </c>
      <c r="AM113" s="1036" t="s">
        <v>135</v>
      </c>
      <c r="AN113" s="1037">
        <v>0</v>
      </c>
      <c r="AO113" s="1041">
        <v>0</v>
      </c>
      <c r="AP113" s="971">
        <v>0</v>
      </c>
      <c r="AQ113" s="1039">
        <v>0</v>
      </c>
      <c r="AR113" s="973">
        <v>0</v>
      </c>
      <c r="AS113" s="974">
        <v>0</v>
      </c>
      <c r="AT113" s="975" t="s">
        <v>135</v>
      </c>
      <c r="AU113" s="976">
        <v>0</v>
      </c>
      <c r="AV113" s="977">
        <v>0</v>
      </c>
      <c r="AW113" s="1040">
        <v>0</v>
      </c>
      <c r="AX113" s="987">
        <v>0</v>
      </c>
    </row>
    <row r="114" spans="10:50" ht="17.25">
      <c r="J114" s="1214"/>
      <c r="AL114" s="1035" t="s">
        <v>135</v>
      </c>
      <c r="AM114" s="1036" t="s">
        <v>135</v>
      </c>
      <c r="AN114" s="1037">
        <v>0</v>
      </c>
      <c r="AO114" s="1041">
        <v>0</v>
      </c>
      <c r="AP114" s="971">
        <v>0</v>
      </c>
      <c r="AQ114" s="1039">
        <v>0</v>
      </c>
      <c r="AR114" s="973">
        <v>0</v>
      </c>
      <c r="AS114" s="974">
        <v>0</v>
      </c>
      <c r="AT114" s="975" t="s">
        <v>135</v>
      </c>
      <c r="AU114" s="976">
        <v>0</v>
      </c>
      <c r="AV114" s="977">
        <v>0</v>
      </c>
      <c r="AW114" s="1040">
        <v>0</v>
      </c>
      <c r="AX114" s="987">
        <v>0</v>
      </c>
    </row>
    <row r="115" spans="10:50" ht="17.25">
      <c r="J115" s="1214"/>
      <c r="AL115" s="1035" t="s">
        <v>135</v>
      </c>
      <c r="AM115" s="1036" t="s">
        <v>135</v>
      </c>
      <c r="AN115" s="1037">
        <v>0</v>
      </c>
      <c r="AO115" s="1041">
        <v>0</v>
      </c>
      <c r="AP115" s="971">
        <v>0</v>
      </c>
      <c r="AQ115" s="1039">
        <v>0</v>
      </c>
      <c r="AR115" s="973">
        <v>0</v>
      </c>
      <c r="AS115" s="974">
        <v>0</v>
      </c>
      <c r="AT115" s="975" t="s">
        <v>135</v>
      </c>
      <c r="AU115" s="976">
        <v>0</v>
      </c>
      <c r="AV115" s="977">
        <v>0</v>
      </c>
      <c r="AW115" s="1040">
        <v>0</v>
      </c>
      <c r="AX115" s="987">
        <v>0</v>
      </c>
    </row>
    <row r="116" spans="10:50" ht="17.25">
      <c r="J116" s="1214"/>
      <c r="AL116" s="1035" t="s">
        <v>135</v>
      </c>
      <c r="AM116" s="1036" t="s">
        <v>135</v>
      </c>
      <c r="AN116" s="1037">
        <v>0</v>
      </c>
      <c r="AO116" s="1041">
        <v>0</v>
      </c>
      <c r="AP116" s="971">
        <v>0</v>
      </c>
      <c r="AQ116" s="1039">
        <v>0</v>
      </c>
      <c r="AR116" s="973">
        <v>0</v>
      </c>
      <c r="AS116" s="974">
        <v>0</v>
      </c>
      <c r="AT116" s="975" t="s">
        <v>135</v>
      </c>
      <c r="AU116" s="976">
        <v>0</v>
      </c>
      <c r="AV116" s="977">
        <v>0</v>
      </c>
      <c r="AW116" s="1040">
        <v>0</v>
      </c>
      <c r="AX116" s="987">
        <v>0</v>
      </c>
    </row>
    <row r="117" spans="10:50" ht="17.25">
      <c r="J117" s="1214"/>
      <c r="AL117" s="1035" t="s">
        <v>135</v>
      </c>
      <c r="AM117" s="1036" t="s">
        <v>135</v>
      </c>
      <c r="AN117" s="1037">
        <v>0</v>
      </c>
      <c r="AO117" s="1041">
        <v>0</v>
      </c>
      <c r="AP117" s="971">
        <v>0</v>
      </c>
      <c r="AQ117" s="1039">
        <v>0</v>
      </c>
      <c r="AR117" s="973">
        <v>0</v>
      </c>
      <c r="AS117" s="974">
        <v>0</v>
      </c>
      <c r="AT117" s="975" t="s">
        <v>135</v>
      </c>
      <c r="AU117" s="976">
        <v>0</v>
      </c>
      <c r="AV117" s="977">
        <v>0</v>
      </c>
      <c r="AW117" s="1040">
        <v>0</v>
      </c>
      <c r="AX117" s="987">
        <v>0</v>
      </c>
    </row>
    <row r="118" spans="10:50" ht="17.25">
      <c r="J118" s="1214"/>
      <c r="AL118" s="1035" t="s">
        <v>135</v>
      </c>
      <c r="AM118" s="1036" t="s">
        <v>135</v>
      </c>
      <c r="AN118" s="1037">
        <v>0</v>
      </c>
      <c r="AO118" s="1041">
        <v>0</v>
      </c>
      <c r="AP118" s="971">
        <v>0</v>
      </c>
      <c r="AQ118" s="1039">
        <v>0</v>
      </c>
      <c r="AR118" s="973">
        <v>0</v>
      </c>
      <c r="AS118" s="974">
        <v>0</v>
      </c>
      <c r="AT118" s="975" t="s">
        <v>135</v>
      </c>
      <c r="AU118" s="976">
        <v>0</v>
      </c>
      <c r="AV118" s="977">
        <v>0</v>
      </c>
      <c r="AW118" s="1040">
        <v>0</v>
      </c>
      <c r="AX118" s="987">
        <v>0</v>
      </c>
    </row>
    <row r="119" spans="10:50" ht="17.25">
      <c r="J119" s="1214"/>
      <c r="AL119" s="1035" t="s">
        <v>135</v>
      </c>
      <c r="AM119" s="1036" t="s">
        <v>135</v>
      </c>
      <c r="AN119" s="1037">
        <v>0</v>
      </c>
      <c r="AO119" s="1041">
        <v>0</v>
      </c>
      <c r="AP119" s="971">
        <v>0</v>
      </c>
      <c r="AQ119" s="1039">
        <v>0</v>
      </c>
      <c r="AR119" s="973">
        <v>0</v>
      </c>
      <c r="AS119" s="974">
        <v>0</v>
      </c>
      <c r="AT119" s="975" t="s">
        <v>135</v>
      </c>
      <c r="AU119" s="976">
        <v>0</v>
      </c>
      <c r="AV119" s="977">
        <v>0</v>
      </c>
      <c r="AW119" s="1040">
        <v>0</v>
      </c>
      <c r="AX119" s="987">
        <v>0</v>
      </c>
    </row>
    <row r="120" spans="10:50" ht="17.25">
      <c r="J120" s="1214"/>
      <c r="AL120" s="1035" t="s">
        <v>135</v>
      </c>
      <c r="AM120" s="1036" t="s">
        <v>135</v>
      </c>
      <c r="AN120" s="1037">
        <v>0</v>
      </c>
      <c r="AO120" s="1041">
        <v>0</v>
      </c>
      <c r="AP120" s="971">
        <v>0</v>
      </c>
      <c r="AQ120" s="1039">
        <v>0</v>
      </c>
      <c r="AR120" s="973">
        <v>0</v>
      </c>
      <c r="AS120" s="974">
        <v>0</v>
      </c>
      <c r="AT120" s="975" t="s">
        <v>135</v>
      </c>
      <c r="AU120" s="976">
        <v>0</v>
      </c>
      <c r="AV120" s="977">
        <v>0</v>
      </c>
      <c r="AW120" s="1040">
        <v>0</v>
      </c>
      <c r="AX120" s="987">
        <v>0</v>
      </c>
    </row>
    <row r="121" spans="10:50" ht="17.25">
      <c r="J121" s="1214"/>
      <c r="AL121" s="1035" t="s">
        <v>135</v>
      </c>
      <c r="AM121" s="1036" t="s">
        <v>135</v>
      </c>
      <c r="AN121" s="1037">
        <v>0</v>
      </c>
      <c r="AO121" s="1041">
        <v>0</v>
      </c>
      <c r="AP121" s="971">
        <v>0</v>
      </c>
      <c r="AQ121" s="1039">
        <v>0</v>
      </c>
      <c r="AR121" s="973">
        <v>0</v>
      </c>
      <c r="AS121" s="974">
        <v>0</v>
      </c>
      <c r="AT121" s="975" t="s">
        <v>135</v>
      </c>
      <c r="AU121" s="976">
        <v>0</v>
      </c>
      <c r="AV121" s="977">
        <v>0</v>
      </c>
      <c r="AW121" s="1040">
        <v>0</v>
      </c>
      <c r="AX121" s="987">
        <v>0</v>
      </c>
    </row>
    <row r="122" spans="10:50" ht="17.25">
      <c r="J122" s="1214"/>
      <c r="AL122" s="1035" t="s">
        <v>135</v>
      </c>
      <c r="AM122" s="1036" t="s">
        <v>135</v>
      </c>
      <c r="AN122" s="1037">
        <v>0</v>
      </c>
      <c r="AO122" s="1041">
        <v>0</v>
      </c>
      <c r="AP122" s="971">
        <v>0</v>
      </c>
      <c r="AQ122" s="1039">
        <v>0</v>
      </c>
      <c r="AR122" s="973">
        <v>0</v>
      </c>
      <c r="AS122" s="974">
        <v>0</v>
      </c>
      <c r="AT122" s="975" t="s">
        <v>135</v>
      </c>
      <c r="AU122" s="976">
        <v>0</v>
      </c>
      <c r="AV122" s="977">
        <v>0</v>
      </c>
      <c r="AW122" s="1040">
        <v>0</v>
      </c>
      <c r="AX122" s="987">
        <v>0</v>
      </c>
    </row>
    <row r="123" spans="10:50" ht="17.25">
      <c r="J123" s="1214"/>
      <c r="AL123" s="1035" t="s">
        <v>135</v>
      </c>
      <c r="AM123" s="1036" t="s">
        <v>135</v>
      </c>
      <c r="AN123" s="1037">
        <v>0</v>
      </c>
      <c r="AO123" s="1041">
        <v>0</v>
      </c>
      <c r="AP123" s="971">
        <v>0</v>
      </c>
      <c r="AQ123" s="1039">
        <v>0</v>
      </c>
      <c r="AR123" s="973">
        <v>0</v>
      </c>
      <c r="AS123" s="974">
        <v>0</v>
      </c>
      <c r="AT123" s="975" t="s">
        <v>135</v>
      </c>
      <c r="AU123" s="976">
        <v>0</v>
      </c>
      <c r="AV123" s="977">
        <v>0</v>
      </c>
      <c r="AW123" s="1040">
        <v>0</v>
      </c>
      <c r="AX123" s="987">
        <v>0</v>
      </c>
    </row>
    <row r="124" spans="10:50" ht="17.25">
      <c r="J124" s="1214"/>
      <c r="AL124" s="1035" t="s">
        <v>135</v>
      </c>
      <c r="AM124" s="1036" t="s">
        <v>135</v>
      </c>
      <c r="AN124" s="1037">
        <v>0</v>
      </c>
      <c r="AO124" s="1041">
        <v>0</v>
      </c>
      <c r="AP124" s="971">
        <v>0</v>
      </c>
      <c r="AQ124" s="1039">
        <v>0</v>
      </c>
      <c r="AR124" s="973">
        <v>0</v>
      </c>
      <c r="AS124" s="974">
        <v>0</v>
      </c>
      <c r="AT124" s="975" t="s">
        <v>135</v>
      </c>
      <c r="AU124" s="976">
        <v>0</v>
      </c>
      <c r="AV124" s="977">
        <v>0</v>
      </c>
      <c r="AW124" s="1040">
        <v>0</v>
      </c>
      <c r="AX124" s="987">
        <v>0</v>
      </c>
    </row>
    <row r="125" spans="10:50" ht="17.25">
      <c r="J125" s="1214"/>
      <c r="AL125" s="1035" t="s">
        <v>135</v>
      </c>
      <c r="AM125" s="1036" t="s">
        <v>135</v>
      </c>
      <c r="AN125" s="1037">
        <v>0</v>
      </c>
      <c r="AO125" s="1041">
        <v>0</v>
      </c>
      <c r="AP125" s="971">
        <v>0</v>
      </c>
      <c r="AQ125" s="1039">
        <v>0</v>
      </c>
      <c r="AR125" s="973">
        <v>0</v>
      </c>
      <c r="AS125" s="974">
        <v>0</v>
      </c>
      <c r="AT125" s="975" t="s">
        <v>135</v>
      </c>
      <c r="AU125" s="976">
        <v>0</v>
      </c>
      <c r="AV125" s="977">
        <v>0</v>
      </c>
      <c r="AW125" s="1040">
        <v>0</v>
      </c>
      <c r="AX125" s="987">
        <v>0</v>
      </c>
    </row>
    <row r="126" spans="10:50" ht="17.25">
      <c r="J126" s="1214"/>
      <c r="AL126" s="1035" t="s">
        <v>135</v>
      </c>
      <c r="AM126" s="1036" t="s">
        <v>135</v>
      </c>
      <c r="AN126" s="1037">
        <v>0</v>
      </c>
      <c r="AO126" s="1041">
        <v>0</v>
      </c>
      <c r="AP126" s="971">
        <v>0</v>
      </c>
      <c r="AQ126" s="1039">
        <v>0</v>
      </c>
      <c r="AR126" s="973">
        <v>0</v>
      </c>
      <c r="AS126" s="974">
        <v>0</v>
      </c>
      <c r="AT126" s="975" t="s">
        <v>135</v>
      </c>
      <c r="AU126" s="976">
        <v>0</v>
      </c>
      <c r="AV126" s="977">
        <v>0</v>
      </c>
      <c r="AW126" s="1040">
        <v>0</v>
      </c>
      <c r="AX126" s="987">
        <v>0</v>
      </c>
    </row>
    <row r="127" spans="10:50" ht="17.25">
      <c r="J127" s="1214"/>
      <c r="AL127" s="1035" t="s">
        <v>135</v>
      </c>
      <c r="AM127" s="1036" t="s">
        <v>135</v>
      </c>
      <c r="AN127" s="1037">
        <v>0</v>
      </c>
      <c r="AO127" s="1041">
        <v>0</v>
      </c>
      <c r="AP127" s="971">
        <v>0</v>
      </c>
      <c r="AQ127" s="1039">
        <v>0</v>
      </c>
      <c r="AR127" s="973">
        <v>0</v>
      </c>
      <c r="AS127" s="974">
        <v>0</v>
      </c>
      <c r="AT127" s="975" t="s">
        <v>135</v>
      </c>
      <c r="AU127" s="976">
        <v>0</v>
      </c>
      <c r="AV127" s="977">
        <v>0</v>
      </c>
      <c r="AW127" s="1040">
        <v>0</v>
      </c>
      <c r="AX127" s="987">
        <v>0</v>
      </c>
    </row>
    <row r="128" spans="10:50" ht="17.25">
      <c r="J128" s="1214"/>
      <c r="AL128" s="1035" t="s">
        <v>135</v>
      </c>
      <c r="AM128" s="1036" t="s">
        <v>135</v>
      </c>
      <c r="AN128" s="1037">
        <v>0</v>
      </c>
      <c r="AO128" s="1041">
        <v>0</v>
      </c>
      <c r="AP128" s="971">
        <v>0</v>
      </c>
      <c r="AQ128" s="1039">
        <v>0</v>
      </c>
      <c r="AR128" s="973">
        <v>0</v>
      </c>
      <c r="AS128" s="974">
        <v>0</v>
      </c>
      <c r="AT128" s="975" t="s">
        <v>135</v>
      </c>
      <c r="AU128" s="976">
        <v>0</v>
      </c>
      <c r="AV128" s="977">
        <v>0</v>
      </c>
      <c r="AW128" s="1040">
        <v>0</v>
      </c>
      <c r="AX128" s="987">
        <v>0</v>
      </c>
    </row>
    <row r="129" spans="10:50" ht="17.25">
      <c r="J129" s="1214"/>
      <c r="AL129" s="1035" t="s">
        <v>135</v>
      </c>
      <c r="AM129" s="1036" t="s">
        <v>135</v>
      </c>
      <c r="AN129" s="1037">
        <v>0</v>
      </c>
      <c r="AO129" s="1041">
        <v>0</v>
      </c>
      <c r="AP129" s="971">
        <v>0</v>
      </c>
      <c r="AQ129" s="1039">
        <v>0</v>
      </c>
      <c r="AR129" s="973">
        <v>0</v>
      </c>
      <c r="AS129" s="974">
        <v>0</v>
      </c>
      <c r="AT129" s="975" t="s">
        <v>135</v>
      </c>
      <c r="AU129" s="976">
        <v>0</v>
      </c>
      <c r="AV129" s="977">
        <v>0</v>
      </c>
      <c r="AW129" s="1040">
        <v>0</v>
      </c>
      <c r="AX129" s="987">
        <v>0</v>
      </c>
    </row>
    <row r="130" spans="10:50" ht="17.25">
      <c r="J130" s="1214"/>
      <c r="AL130" s="1035" t="s">
        <v>135</v>
      </c>
      <c r="AM130" s="1036" t="s">
        <v>135</v>
      </c>
      <c r="AN130" s="1037">
        <v>0</v>
      </c>
      <c r="AO130" s="1041">
        <v>0</v>
      </c>
      <c r="AP130" s="971">
        <v>0</v>
      </c>
      <c r="AQ130" s="1039">
        <v>0</v>
      </c>
      <c r="AR130" s="973">
        <v>0</v>
      </c>
      <c r="AS130" s="974">
        <v>0</v>
      </c>
      <c r="AT130" s="975" t="s">
        <v>135</v>
      </c>
      <c r="AU130" s="976">
        <v>0</v>
      </c>
      <c r="AV130" s="977">
        <v>0</v>
      </c>
      <c r="AW130" s="1040">
        <v>0</v>
      </c>
      <c r="AX130" s="987">
        <v>0</v>
      </c>
    </row>
    <row r="131" spans="10:50" ht="17.25">
      <c r="J131" s="1214"/>
      <c r="AL131" s="1035" t="s">
        <v>135</v>
      </c>
      <c r="AM131" s="1036" t="s">
        <v>135</v>
      </c>
      <c r="AN131" s="1037">
        <v>0</v>
      </c>
      <c r="AO131" s="1041">
        <v>0</v>
      </c>
      <c r="AP131" s="971">
        <v>0</v>
      </c>
      <c r="AQ131" s="1039">
        <v>0</v>
      </c>
      <c r="AR131" s="973">
        <v>0</v>
      </c>
      <c r="AS131" s="974">
        <v>0</v>
      </c>
      <c r="AT131" s="975" t="s">
        <v>135</v>
      </c>
      <c r="AU131" s="976">
        <v>0</v>
      </c>
      <c r="AV131" s="977">
        <v>0</v>
      </c>
      <c r="AW131" s="1040">
        <v>0</v>
      </c>
      <c r="AX131" s="987">
        <v>0</v>
      </c>
    </row>
    <row r="132" spans="10:50" ht="17.25">
      <c r="J132" s="1214"/>
      <c r="AL132" s="1035" t="s">
        <v>135</v>
      </c>
      <c r="AM132" s="1036" t="s">
        <v>135</v>
      </c>
      <c r="AN132" s="1037">
        <v>0</v>
      </c>
      <c r="AO132" s="1041">
        <v>0</v>
      </c>
      <c r="AP132" s="971">
        <v>0</v>
      </c>
      <c r="AQ132" s="1039">
        <v>0</v>
      </c>
      <c r="AR132" s="973">
        <v>0</v>
      </c>
      <c r="AS132" s="974">
        <v>0</v>
      </c>
      <c r="AT132" s="975" t="s">
        <v>135</v>
      </c>
      <c r="AU132" s="976">
        <v>0</v>
      </c>
      <c r="AV132" s="977">
        <v>0</v>
      </c>
      <c r="AW132" s="1040">
        <v>0</v>
      </c>
      <c r="AX132" s="987">
        <v>0</v>
      </c>
    </row>
    <row r="133" spans="10:50" ht="17.25">
      <c r="J133" s="1214"/>
      <c r="AL133" s="1035" t="s">
        <v>135</v>
      </c>
      <c r="AM133" s="1036" t="s">
        <v>135</v>
      </c>
      <c r="AN133" s="1037">
        <v>0</v>
      </c>
      <c r="AO133" s="1041">
        <v>0</v>
      </c>
      <c r="AP133" s="971">
        <v>0</v>
      </c>
      <c r="AQ133" s="1039">
        <v>0</v>
      </c>
      <c r="AR133" s="973">
        <v>0</v>
      </c>
      <c r="AS133" s="974">
        <v>0</v>
      </c>
      <c r="AT133" s="975" t="s">
        <v>135</v>
      </c>
      <c r="AU133" s="976">
        <v>0</v>
      </c>
      <c r="AV133" s="977">
        <v>0</v>
      </c>
      <c r="AW133" s="1040">
        <v>0</v>
      </c>
      <c r="AX133" s="987">
        <v>0</v>
      </c>
    </row>
    <row r="134" spans="10:50" ht="17.25">
      <c r="J134" s="1214"/>
      <c r="AL134" s="1035" t="s">
        <v>135</v>
      </c>
      <c r="AM134" s="1036" t="s">
        <v>135</v>
      </c>
      <c r="AN134" s="1037">
        <v>0</v>
      </c>
      <c r="AO134" s="1041">
        <v>0</v>
      </c>
      <c r="AP134" s="971">
        <v>0</v>
      </c>
      <c r="AQ134" s="1039">
        <v>0</v>
      </c>
      <c r="AR134" s="973">
        <v>0</v>
      </c>
      <c r="AS134" s="974">
        <v>0</v>
      </c>
      <c r="AT134" s="975" t="s">
        <v>135</v>
      </c>
      <c r="AU134" s="976">
        <v>0</v>
      </c>
      <c r="AV134" s="977">
        <v>0</v>
      </c>
      <c r="AW134" s="1040">
        <v>0</v>
      </c>
      <c r="AX134" s="987">
        <v>0</v>
      </c>
    </row>
    <row r="135" spans="10:50" ht="17.25">
      <c r="J135" s="1214"/>
      <c r="AL135" s="1035" t="s">
        <v>135</v>
      </c>
      <c r="AM135" s="1036" t="s">
        <v>135</v>
      </c>
      <c r="AN135" s="1037">
        <v>0</v>
      </c>
      <c r="AO135" s="1041">
        <v>0</v>
      </c>
      <c r="AP135" s="971">
        <v>0</v>
      </c>
      <c r="AQ135" s="1039">
        <v>0</v>
      </c>
      <c r="AR135" s="973">
        <v>0</v>
      </c>
      <c r="AS135" s="974">
        <v>0</v>
      </c>
      <c r="AT135" s="975" t="s">
        <v>135</v>
      </c>
      <c r="AU135" s="976">
        <v>0</v>
      </c>
      <c r="AV135" s="977">
        <v>0</v>
      </c>
      <c r="AW135" s="1040">
        <v>0</v>
      </c>
      <c r="AX135" s="987">
        <v>0</v>
      </c>
    </row>
    <row r="136" spans="10:50" ht="17.25">
      <c r="J136" s="1214"/>
      <c r="AL136" s="1035" t="s">
        <v>135</v>
      </c>
      <c r="AM136" s="1036" t="s">
        <v>135</v>
      </c>
      <c r="AN136" s="1037">
        <v>0</v>
      </c>
      <c r="AO136" s="1041">
        <v>0</v>
      </c>
      <c r="AP136" s="971">
        <v>0</v>
      </c>
      <c r="AQ136" s="1039">
        <v>0</v>
      </c>
      <c r="AR136" s="973">
        <v>0</v>
      </c>
      <c r="AS136" s="974">
        <v>0</v>
      </c>
      <c r="AT136" s="975" t="s">
        <v>135</v>
      </c>
      <c r="AU136" s="976">
        <v>0</v>
      </c>
      <c r="AV136" s="977">
        <v>0</v>
      </c>
      <c r="AW136" s="1040">
        <v>0</v>
      </c>
      <c r="AX136" s="987">
        <v>0</v>
      </c>
    </row>
    <row r="137" spans="10:50" ht="17.25">
      <c r="J137" s="1214"/>
      <c r="AL137" s="1035" t="s">
        <v>135</v>
      </c>
      <c r="AM137" s="1036" t="s">
        <v>135</v>
      </c>
      <c r="AN137" s="1037">
        <v>0</v>
      </c>
      <c r="AO137" s="1041">
        <v>0</v>
      </c>
      <c r="AP137" s="971">
        <v>0</v>
      </c>
      <c r="AQ137" s="1039">
        <v>0</v>
      </c>
      <c r="AR137" s="973">
        <v>0</v>
      </c>
      <c r="AS137" s="974">
        <v>0</v>
      </c>
      <c r="AT137" s="975" t="s">
        <v>135</v>
      </c>
      <c r="AU137" s="976">
        <v>0</v>
      </c>
      <c r="AV137" s="977">
        <v>0</v>
      </c>
      <c r="AW137" s="1040">
        <v>0</v>
      </c>
      <c r="AX137" s="987">
        <v>0</v>
      </c>
    </row>
    <row r="138" spans="10:50" ht="17.25">
      <c r="J138" s="1214"/>
      <c r="AL138" s="1035" t="s">
        <v>135</v>
      </c>
      <c r="AM138" s="1036" t="s">
        <v>135</v>
      </c>
      <c r="AN138" s="1037">
        <v>0</v>
      </c>
      <c r="AO138" s="1041">
        <v>0</v>
      </c>
      <c r="AP138" s="971">
        <v>0</v>
      </c>
      <c r="AQ138" s="1039">
        <v>0</v>
      </c>
      <c r="AR138" s="973">
        <v>0</v>
      </c>
      <c r="AS138" s="974">
        <v>0</v>
      </c>
      <c r="AT138" s="975" t="s">
        <v>135</v>
      </c>
      <c r="AU138" s="976">
        <v>0</v>
      </c>
      <c r="AV138" s="977">
        <v>0</v>
      </c>
      <c r="AW138" s="1040">
        <v>0</v>
      </c>
      <c r="AX138" s="987">
        <v>0</v>
      </c>
    </row>
    <row r="139" spans="10:50" ht="17.25">
      <c r="J139" s="1214"/>
      <c r="AL139" s="1035" t="s">
        <v>135</v>
      </c>
      <c r="AM139" s="1036" t="s">
        <v>135</v>
      </c>
      <c r="AN139" s="1037">
        <v>0</v>
      </c>
      <c r="AO139" s="1041">
        <v>0</v>
      </c>
      <c r="AP139" s="971">
        <v>0</v>
      </c>
      <c r="AQ139" s="1039">
        <v>0</v>
      </c>
      <c r="AR139" s="973">
        <v>0</v>
      </c>
      <c r="AS139" s="974">
        <v>0</v>
      </c>
      <c r="AT139" s="975" t="s">
        <v>135</v>
      </c>
      <c r="AU139" s="976">
        <v>0</v>
      </c>
      <c r="AV139" s="977">
        <v>0</v>
      </c>
      <c r="AW139" s="1040">
        <v>0</v>
      </c>
      <c r="AX139" s="987">
        <v>0</v>
      </c>
    </row>
    <row r="140" spans="10:50" ht="17.25">
      <c r="J140" s="1214"/>
      <c r="AL140" s="1035" t="s">
        <v>135</v>
      </c>
      <c r="AM140" s="1036" t="s">
        <v>135</v>
      </c>
      <c r="AN140" s="1037">
        <v>0</v>
      </c>
      <c r="AO140" s="1041">
        <v>0</v>
      </c>
      <c r="AP140" s="971">
        <v>0</v>
      </c>
      <c r="AQ140" s="1039">
        <v>0</v>
      </c>
      <c r="AR140" s="973">
        <v>0</v>
      </c>
      <c r="AS140" s="974">
        <v>0</v>
      </c>
      <c r="AT140" s="975" t="s">
        <v>135</v>
      </c>
      <c r="AU140" s="976">
        <v>0</v>
      </c>
      <c r="AV140" s="977">
        <v>0</v>
      </c>
      <c r="AW140" s="1040">
        <v>0</v>
      </c>
      <c r="AX140" s="987">
        <v>0</v>
      </c>
    </row>
    <row r="141" spans="10:50" ht="17.25">
      <c r="J141" s="1214"/>
      <c r="AL141" s="1035" t="s">
        <v>135</v>
      </c>
      <c r="AM141" s="1036" t="s">
        <v>135</v>
      </c>
      <c r="AN141" s="1037">
        <v>0</v>
      </c>
      <c r="AO141" s="1041">
        <v>0</v>
      </c>
      <c r="AP141" s="971">
        <v>0</v>
      </c>
      <c r="AQ141" s="1039">
        <v>0</v>
      </c>
      <c r="AR141" s="973">
        <v>0</v>
      </c>
      <c r="AS141" s="974">
        <v>0</v>
      </c>
      <c r="AT141" s="975" t="s">
        <v>135</v>
      </c>
      <c r="AU141" s="976">
        <v>0</v>
      </c>
      <c r="AV141" s="977">
        <v>0</v>
      </c>
      <c r="AW141" s="1040">
        <v>0</v>
      </c>
      <c r="AX141" s="987">
        <v>0</v>
      </c>
    </row>
    <row r="142" spans="10:50" ht="17.25">
      <c r="J142" s="1214"/>
      <c r="AL142" s="1035" t="s">
        <v>135</v>
      </c>
      <c r="AM142" s="1036" t="s">
        <v>135</v>
      </c>
      <c r="AN142" s="1037">
        <v>0</v>
      </c>
      <c r="AO142" s="1041">
        <v>0</v>
      </c>
      <c r="AP142" s="971">
        <v>0</v>
      </c>
      <c r="AQ142" s="1039">
        <v>0</v>
      </c>
      <c r="AR142" s="973">
        <v>0</v>
      </c>
      <c r="AS142" s="974">
        <v>0</v>
      </c>
      <c r="AT142" s="975" t="s">
        <v>135</v>
      </c>
      <c r="AU142" s="976">
        <v>0</v>
      </c>
      <c r="AV142" s="977">
        <v>0</v>
      </c>
      <c r="AW142" s="1040">
        <v>0</v>
      </c>
      <c r="AX142" s="987">
        <v>0</v>
      </c>
    </row>
    <row r="143" spans="10:50" ht="17.25">
      <c r="J143" s="1214"/>
      <c r="AL143" s="1035" t="s">
        <v>135</v>
      </c>
      <c r="AM143" s="1036" t="s">
        <v>135</v>
      </c>
      <c r="AN143" s="1037">
        <v>0</v>
      </c>
      <c r="AO143" s="1041">
        <v>0</v>
      </c>
      <c r="AP143" s="971">
        <v>0</v>
      </c>
      <c r="AQ143" s="1039">
        <v>0</v>
      </c>
      <c r="AR143" s="973">
        <v>0</v>
      </c>
      <c r="AS143" s="974">
        <v>0</v>
      </c>
      <c r="AT143" s="975" t="s">
        <v>135</v>
      </c>
      <c r="AU143" s="976">
        <v>0</v>
      </c>
      <c r="AV143" s="977">
        <v>0</v>
      </c>
      <c r="AW143" s="1040">
        <v>0</v>
      </c>
      <c r="AX143" s="987">
        <v>0</v>
      </c>
    </row>
    <row r="144" spans="10:50" ht="17.25">
      <c r="J144" s="1214"/>
      <c r="AL144" s="1035" t="s">
        <v>135</v>
      </c>
      <c r="AM144" s="1036" t="s">
        <v>135</v>
      </c>
      <c r="AN144" s="1037">
        <v>0</v>
      </c>
      <c r="AO144" s="1041">
        <v>0</v>
      </c>
      <c r="AP144" s="971">
        <v>0</v>
      </c>
      <c r="AQ144" s="1039">
        <v>0</v>
      </c>
      <c r="AR144" s="973">
        <v>0</v>
      </c>
      <c r="AS144" s="974">
        <v>0</v>
      </c>
      <c r="AT144" s="975" t="s">
        <v>135</v>
      </c>
      <c r="AU144" s="976">
        <v>0</v>
      </c>
      <c r="AV144" s="977">
        <v>0</v>
      </c>
      <c r="AW144" s="1040">
        <v>0</v>
      </c>
      <c r="AX144" s="987">
        <v>0</v>
      </c>
    </row>
    <row r="145" spans="10:50" ht="17.25">
      <c r="J145" s="1214"/>
      <c r="AL145" s="1035" t="s">
        <v>135</v>
      </c>
      <c r="AM145" s="1036" t="s">
        <v>135</v>
      </c>
      <c r="AN145" s="1037">
        <v>0</v>
      </c>
      <c r="AO145" s="1041">
        <v>0</v>
      </c>
      <c r="AP145" s="971">
        <v>0</v>
      </c>
      <c r="AQ145" s="1039">
        <v>0</v>
      </c>
      <c r="AR145" s="973">
        <v>0</v>
      </c>
      <c r="AS145" s="974">
        <v>0</v>
      </c>
      <c r="AT145" s="975" t="s">
        <v>135</v>
      </c>
      <c r="AU145" s="976">
        <v>0</v>
      </c>
      <c r="AV145" s="977">
        <v>0</v>
      </c>
      <c r="AW145" s="1040">
        <v>0</v>
      </c>
      <c r="AX145" s="987">
        <v>0</v>
      </c>
    </row>
    <row r="146" spans="10:50" ht="17.25">
      <c r="J146" s="1214"/>
      <c r="AL146" s="1035" t="s">
        <v>135</v>
      </c>
      <c r="AM146" s="1036" t="s">
        <v>135</v>
      </c>
      <c r="AN146" s="1037">
        <v>0</v>
      </c>
      <c r="AO146" s="1041">
        <v>0</v>
      </c>
      <c r="AP146" s="971">
        <v>0</v>
      </c>
      <c r="AQ146" s="1039">
        <v>0</v>
      </c>
      <c r="AR146" s="973">
        <v>0</v>
      </c>
      <c r="AS146" s="974">
        <v>0</v>
      </c>
      <c r="AT146" s="975" t="s">
        <v>135</v>
      </c>
      <c r="AU146" s="976">
        <v>0</v>
      </c>
      <c r="AV146" s="977">
        <v>0</v>
      </c>
      <c r="AW146" s="1040">
        <v>0</v>
      </c>
      <c r="AX146" s="987">
        <v>0</v>
      </c>
    </row>
    <row r="147" spans="10:50" ht="17.25">
      <c r="J147" s="1214"/>
      <c r="AL147" s="1035" t="s">
        <v>135</v>
      </c>
      <c r="AM147" s="1036" t="s">
        <v>135</v>
      </c>
      <c r="AN147" s="1037">
        <v>0</v>
      </c>
      <c r="AO147" s="1041">
        <v>0</v>
      </c>
      <c r="AP147" s="971">
        <v>0</v>
      </c>
      <c r="AQ147" s="1039">
        <v>0</v>
      </c>
      <c r="AR147" s="973">
        <v>0</v>
      </c>
      <c r="AS147" s="974">
        <v>0</v>
      </c>
      <c r="AT147" s="975" t="s">
        <v>135</v>
      </c>
      <c r="AU147" s="976">
        <v>0</v>
      </c>
      <c r="AV147" s="977">
        <v>0</v>
      </c>
      <c r="AW147" s="1040">
        <v>0</v>
      </c>
      <c r="AX147" s="987">
        <v>0</v>
      </c>
    </row>
    <row r="148" spans="10:50" ht="17.25">
      <c r="J148" s="1214"/>
      <c r="AL148" s="1035" t="s">
        <v>135</v>
      </c>
      <c r="AM148" s="1036" t="s">
        <v>135</v>
      </c>
      <c r="AN148" s="1037">
        <v>0</v>
      </c>
      <c r="AO148" s="1041">
        <v>0</v>
      </c>
      <c r="AP148" s="971">
        <v>0</v>
      </c>
      <c r="AQ148" s="1039">
        <v>0</v>
      </c>
      <c r="AR148" s="973">
        <v>0</v>
      </c>
      <c r="AS148" s="974">
        <v>0</v>
      </c>
      <c r="AT148" s="975" t="s">
        <v>135</v>
      </c>
      <c r="AU148" s="976">
        <v>0</v>
      </c>
      <c r="AV148" s="977">
        <v>0</v>
      </c>
      <c r="AW148" s="1040">
        <v>0</v>
      </c>
      <c r="AX148" s="987">
        <v>0</v>
      </c>
    </row>
    <row r="149" spans="10:50" ht="17.25">
      <c r="J149" s="1214"/>
      <c r="AL149" s="1035" t="s">
        <v>135</v>
      </c>
      <c r="AM149" s="1036" t="s">
        <v>135</v>
      </c>
      <c r="AN149" s="1037">
        <v>0</v>
      </c>
      <c r="AO149" s="1041">
        <v>0</v>
      </c>
      <c r="AP149" s="971">
        <v>0</v>
      </c>
      <c r="AQ149" s="1039">
        <v>0</v>
      </c>
      <c r="AR149" s="973">
        <v>0</v>
      </c>
      <c r="AS149" s="974">
        <v>0</v>
      </c>
      <c r="AT149" s="975" t="s">
        <v>135</v>
      </c>
      <c r="AU149" s="976">
        <v>0</v>
      </c>
      <c r="AV149" s="977">
        <v>0</v>
      </c>
      <c r="AW149" s="1040">
        <v>0</v>
      </c>
      <c r="AX149" s="987">
        <v>0</v>
      </c>
    </row>
    <row r="150" spans="10:50" ht="17.25">
      <c r="J150" s="1214"/>
      <c r="AL150" s="1035" t="s">
        <v>135</v>
      </c>
      <c r="AM150" s="1036" t="s">
        <v>135</v>
      </c>
      <c r="AN150" s="1037">
        <v>0</v>
      </c>
      <c r="AO150" s="1041">
        <v>0</v>
      </c>
      <c r="AP150" s="971">
        <v>0</v>
      </c>
      <c r="AQ150" s="1039">
        <v>0</v>
      </c>
      <c r="AR150" s="973">
        <v>0</v>
      </c>
      <c r="AS150" s="974">
        <v>0</v>
      </c>
      <c r="AT150" s="975" t="s">
        <v>135</v>
      </c>
      <c r="AU150" s="976">
        <v>0</v>
      </c>
      <c r="AV150" s="977">
        <v>0</v>
      </c>
      <c r="AW150" s="1040">
        <v>0</v>
      </c>
      <c r="AX150" s="987">
        <v>0</v>
      </c>
    </row>
    <row r="151" spans="10:50" ht="17.25">
      <c r="J151" s="1214"/>
      <c r="AL151" s="1035" t="s">
        <v>135</v>
      </c>
      <c r="AM151" s="1036" t="s">
        <v>135</v>
      </c>
      <c r="AN151" s="1037">
        <v>0</v>
      </c>
      <c r="AO151" s="1041">
        <v>0</v>
      </c>
      <c r="AP151" s="971">
        <v>0</v>
      </c>
      <c r="AQ151" s="1039">
        <v>0</v>
      </c>
      <c r="AR151" s="973">
        <v>0</v>
      </c>
      <c r="AS151" s="974">
        <v>0</v>
      </c>
      <c r="AT151" s="975" t="s">
        <v>135</v>
      </c>
      <c r="AU151" s="976">
        <v>0</v>
      </c>
      <c r="AV151" s="977">
        <v>0</v>
      </c>
      <c r="AW151" s="1040">
        <v>0</v>
      </c>
      <c r="AX151" s="987">
        <v>0</v>
      </c>
    </row>
    <row r="152" spans="10:50" ht="17.25">
      <c r="J152" s="1214"/>
      <c r="AL152" s="1035" t="s">
        <v>135</v>
      </c>
      <c r="AM152" s="1036" t="s">
        <v>135</v>
      </c>
      <c r="AN152" s="1037">
        <v>0</v>
      </c>
      <c r="AO152" s="1041">
        <v>0</v>
      </c>
      <c r="AP152" s="971">
        <v>0</v>
      </c>
      <c r="AQ152" s="1039">
        <v>0</v>
      </c>
      <c r="AR152" s="973">
        <v>0</v>
      </c>
      <c r="AS152" s="974">
        <v>0</v>
      </c>
      <c r="AT152" s="975" t="s">
        <v>135</v>
      </c>
      <c r="AU152" s="976">
        <v>0</v>
      </c>
      <c r="AV152" s="977">
        <v>0</v>
      </c>
      <c r="AW152" s="1040">
        <v>0</v>
      </c>
      <c r="AX152" s="987">
        <v>0</v>
      </c>
    </row>
    <row r="153" spans="10:50" ht="17.25">
      <c r="J153" s="1214"/>
      <c r="AL153" s="1035" t="s">
        <v>135</v>
      </c>
      <c r="AM153" s="1036" t="s">
        <v>135</v>
      </c>
      <c r="AN153" s="1037">
        <v>0</v>
      </c>
      <c r="AO153" s="1041">
        <v>0</v>
      </c>
      <c r="AP153" s="971">
        <v>0</v>
      </c>
      <c r="AQ153" s="1039">
        <v>0</v>
      </c>
      <c r="AR153" s="973">
        <v>0</v>
      </c>
      <c r="AS153" s="974">
        <v>0</v>
      </c>
      <c r="AT153" s="975" t="s">
        <v>135</v>
      </c>
      <c r="AU153" s="976">
        <v>0</v>
      </c>
      <c r="AV153" s="977">
        <v>0</v>
      </c>
      <c r="AW153" s="1040">
        <v>0</v>
      </c>
      <c r="AX153" s="987">
        <v>0</v>
      </c>
    </row>
    <row r="154" spans="10:50" ht="17.25">
      <c r="J154" s="1214"/>
      <c r="AL154" s="1035" t="s">
        <v>135</v>
      </c>
      <c r="AM154" s="1036" t="s">
        <v>135</v>
      </c>
      <c r="AN154" s="1037">
        <v>0</v>
      </c>
      <c r="AO154" s="1041">
        <v>0</v>
      </c>
      <c r="AP154" s="971">
        <v>0</v>
      </c>
      <c r="AQ154" s="1039">
        <v>0</v>
      </c>
      <c r="AR154" s="973">
        <v>0</v>
      </c>
      <c r="AS154" s="974">
        <v>0</v>
      </c>
      <c r="AT154" s="975" t="s">
        <v>135</v>
      </c>
      <c r="AU154" s="976">
        <v>0</v>
      </c>
      <c r="AV154" s="977">
        <v>0</v>
      </c>
      <c r="AW154" s="1040">
        <v>0</v>
      </c>
      <c r="AX154" s="987">
        <v>0</v>
      </c>
    </row>
    <row r="155" spans="10:50" ht="17.25">
      <c r="J155" s="1214"/>
      <c r="AL155" s="1035" t="s">
        <v>135</v>
      </c>
      <c r="AM155" s="1036" t="s">
        <v>135</v>
      </c>
      <c r="AN155" s="1037">
        <v>0</v>
      </c>
      <c r="AO155" s="1041">
        <v>0</v>
      </c>
      <c r="AP155" s="971">
        <v>0</v>
      </c>
      <c r="AQ155" s="1039">
        <v>0</v>
      </c>
      <c r="AR155" s="973">
        <v>0</v>
      </c>
      <c r="AS155" s="974">
        <v>0</v>
      </c>
      <c r="AT155" s="975" t="s">
        <v>135</v>
      </c>
      <c r="AU155" s="976">
        <v>0</v>
      </c>
      <c r="AV155" s="977">
        <v>0</v>
      </c>
      <c r="AW155" s="1040">
        <v>0</v>
      </c>
      <c r="AX155" s="987">
        <v>0</v>
      </c>
    </row>
    <row r="156" spans="10:50" ht="17.25">
      <c r="J156" s="1214"/>
      <c r="AL156" s="1035" t="s">
        <v>135</v>
      </c>
      <c r="AM156" s="1036" t="s">
        <v>135</v>
      </c>
      <c r="AN156" s="1037">
        <v>0</v>
      </c>
      <c r="AO156" s="1041">
        <v>0</v>
      </c>
      <c r="AP156" s="971">
        <v>0</v>
      </c>
      <c r="AQ156" s="1039">
        <v>0</v>
      </c>
      <c r="AR156" s="973">
        <v>0</v>
      </c>
      <c r="AS156" s="974">
        <v>0</v>
      </c>
      <c r="AT156" s="975" t="s">
        <v>135</v>
      </c>
      <c r="AU156" s="976">
        <v>0</v>
      </c>
      <c r="AV156" s="977">
        <v>0</v>
      </c>
      <c r="AW156" s="1040">
        <v>0</v>
      </c>
      <c r="AX156" s="987">
        <v>0</v>
      </c>
    </row>
    <row r="157" spans="10:50" ht="17.25">
      <c r="J157" s="1214"/>
      <c r="AL157" s="1035" t="s">
        <v>135</v>
      </c>
      <c r="AM157" s="1036" t="s">
        <v>135</v>
      </c>
      <c r="AN157" s="1037">
        <v>0</v>
      </c>
      <c r="AO157" s="1041">
        <v>0</v>
      </c>
      <c r="AP157" s="971">
        <v>0</v>
      </c>
      <c r="AQ157" s="1039">
        <v>0</v>
      </c>
      <c r="AR157" s="973">
        <v>0</v>
      </c>
      <c r="AS157" s="974">
        <v>0</v>
      </c>
      <c r="AT157" s="975" t="s">
        <v>135</v>
      </c>
      <c r="AU157" s="976">
        <v>0</v>
      </c>
      <c r="AV157" s="977">
        <v>0</v>
      </c>
      <c r="AW157" s="1040">
        <v>0</v>
      </c>
      <c r="AX157" s="987">
        <v>0</v>
      </c>
    </row>
    <row r="158" spans="10:50" ht="17.25">
      <c r="J158" s="1214"/>
      <c r="AL158" s="1035" t="s">
        <v>135</v>
      </c>
      <c r="AM158" s="1036" t="s">
        <v>135</v>
      </c>
      <c r="AN158" s="1037">
        <v>0</v>
      </c>
      <c r="AO158" s="1041">
        <v>0</v>
      </c>
      <c r="AP158" s="971">
        <v>0</v>
      </c>
      <c r="AQ158" s="1039">
        <v>0</v>
      </c>
      <c r="AR158" s="973">
        <v>0</v>
      </c>
      <c r="AS158" s="974">
        <v>0</v>
      </c>
      <c r="AT158" s="975" t="s">
        <v>135</v>
      </c>
      <c r="AU158" s="976">
        <v>0</v>
      </c>
      <c r="AV158" s="977">
        <v>0</v>
      </c>
      <c r="AW158" s="1040">
        <v>0</v>
      </c>
      <c r="AX158" s="987">
        <v>0</v>
      </c>
    </row>
    <row r="159" spans="10:50" ht="17.25">
      <c r="J159" s="1214"/>
      <c r="AL159" s="1035" t="s">
        <v>135</v>
      </c>
      <c r="AM159" s="1036" t="s">
        <v>135</v>
      </c>
      <c r="AN159" s="1037">
        <v>0</v>
      </c>
      <c r="AO159" s="1038">
        <v>0</v>
      </c>
      <c r="AP159" s="971">
        <v>0</v>
      </c>
      <c r="AQ159" s="1039">
        <v>0</v>
      </c>
      <c r="AR159" s="973">
        <v>0</v>
      </c>
      <c r="AS159" s="974">
        <v>0</v>
      </c>
      <c r="AT159" s="975" t="s">
        <v>135</v>
      </c>
      <c r="AU159" s="976">
        <v>0</v>
      </c>
      <c r="AV159" s="977">
        <v>0</v>
      </c>
      <c r="AW159" s="1040">
        <v>0</v>
      </c>
      <c r="AX159" s="987">
        <v>0</v>
      </c>
    </row>
    <row r="160" spans="10:50" ht="17.25">
      <c r="J160" s="1214"/>
      <c r="AL160" s="1035" t="s">
        <v>135</v>
      </c>
      <c r="AM160" s="1036" t="s">
        <v>135</v>
      </c>
      <c r="AN160" s="1037">
        <v>0</v>
      </c>
      <c r="AO160" s="1041">
        <v>0</v>
      </c>
      <c r="AP160" s="971">
        <v>0</v>
      </c>
      <c r="AQ160" s="1039">
        <v>0</v>
      </c>
      <c r="AR160" s="973">
        <v>0</v>
      </c>
      <c r="AS160" s="974">
        <v>0</v>
      </c>
      <c r="AT160" s="975" t="s">
        <v>135</v>
      </c>
      <c r="AU160" s="976">
        <v>0</v>
      </c>
      <c r="AV160" s="977">
        <v>0</v>
      </c>
      <c r="AW160" s="1040">
        <v>0</v>
      </c>
      <c r="AX160" s="987">
        <v>0</v>
      </c>
    </row>
    <row r="161" spans="10:50" ht="17.25">
      <c r="J161" s="1214"/>
      <c r="AL161" s="1035" t="s">
        <v>135</v>
      </c>
      <c r="AM161" s="1036" t="s">
        <v>135</v>
      </c>
      <c r="AN161" s="1037">
        <v>0</v>
      </c>
      <c r="AO161" s="1041">
        <v>0</v>
      </c>
      <c r="AP161" s="971">
        <v>0</v>
      </c>
      <c r="AQ161" s="1039">
        <v>0</v>
      </c>
      <c r="AR161" s="973">
        <v>0</v>
      </c>
      <c r="AS161" s="974">
        <v>0</v>
      </c>
      <c r="AT161" s="975" t="s">
        <v>135</v>
      </c>
      <c r="AU161" s="976">
        <v>0</v>
      </c>
      <c r="AV161" s="977">
        <v>0</v>
      </c>
      <c r="AW161" s="1040">
        <v>0</v>
      </c>
      <c r="AX161" s="987">
        <v>0</v>
      </c>
    </row>
    <row r="162" spans="10:50" ht="17.25">
      <c r="J162" s="1214"/>
      <c r="AL162" s="1035" t="s">
        <v>135</v>
      </c>
      <c r="AM162" s="1036" t="s">
        <v>135</v>
      </c>
      <c r="AN162" s="1037">
        <v>0</v>
      </c>
      <c r="AO162" s="1041">
        <v>0</v>
      </c>
      <c r="AP162" s="971">
        <v>0</v>
      </c>
      <c r="AQ162" s="1039">
        <v>0</v>
      </c>
      <c r="AR162" s="973">
        <v>0</v>
      </c>
      <c r="AS162" s="974">
        <v>0</v>
      </c>
      <c r="AT162" s="975" t="s">
        <v>135</v>
      </c>
      <c r="AU162" s="976">
        <v>0</v>
      </c>
      <c r="AV162" s="977">
        <v>0</v>
      </c>
      <c r="AW162" s="1040">
        <v>0</v>
      </c>
      <c r="AX162" s="987">
        <v>0</v>
      </c>
    </row>
    <row r="163" spans="10:50" ht="17.25">
      <c r="J163" s="1214"/>
      <c r="AL163" s="1035" t="s">
        <v>135</v>
      </c>
      <c r="AM163" s="1036" t="s">
        <v>135</v>
      </c>
      <c r="AN163" s="1037">
        <v>0</v>
      </c>
      <c r="AO163" s="1041">
        <v>0</v>
      </c>
      <c r="AP163" s="971">
        <v>0</v>
      </c>
      <c r="AQ163" s="1039">
        <v>0</v>
      </c>
      <c r="AR163" s="973">
        <v>0</v>
      </c>
      <c r="AS163" s="974">
        <v>0</v>
      </c>
      <c r="AT163" s="975" t="s">
        <v>135</v>
      </c>
      <c r="AU163" s="976">
        <v>0</v>
      </c>
      <c r="AV163" s="977">
        <v>0</v>
      </c>
      <c r="AW163" s="1040">
        <v>0</v>
      </c>
      <c r="AX163" s="987">
        <v>0</v>
      </c>
    </row>
    <row r="164" spans="10:50" ht="17.25">
      <c r="J164" s="1214"/>
      <c r="AL164" s="1035" t="s">
        <v>135</v>
      </c>
      <c r="AM164" s="1036" t="s">
        <v>135</v>
      </c>
      <c r="AN164" s="1037">
        <v>0</v>
      </c>
      <c r="AO164" s="1041">
        <v>0</v>
      </c>
      <c r="AP164" s="971">
        <v>0</v>
      </c>
      <c r="AQ164" s="1039">
        <v>0</v>
      </c>
      <c r="AR164" s="973">
        <v>0</v>
      </c>
      <c r="AS164" s="974">
        <v>0</v>
      </c>
      <c r="AT164" s="975" t="s">
        <v>135</v>
      </c>
      <c r="AU164" s="976">
        <v>0</v>
      </c>
      <c r="AV164" s="977">
        <v>0</v>
      </c>
      <c r="AW164" s="1040">
        <v>0</v>
      </c>
      <c r="AX164" s="987">
        <v>0</v>
      </c>
    </row>
    <row r="165" spans="10:50" ht="17.25">
      <c r="J165" s="1214"/>
      <c r="AL165" s="1035" t="s">
        <v>135</v>
      </c>
      <c r="AM165" s="1036" t="s">
        <v>135</v>
      </c>
      <c r="AN165" s="1037">
        <v>0</v>
      </c>
      <c r="AO165" s="1041">
        <v>0</v>
      </c>
      <c r="AP165" s="971">
        <v>0</v>
      </c>
      <c r="AQ165" s="1039">
        <v>0</v>
      </c>
      <c r="AR165" s="973">
        <v>0</v>
      </c>
      <c r="AS165" s="974">
        <v>0</v>
      </c>
      <c r="AT165" s="975" t="s">
        <v>135</v>
      </c>
      <c r="AU165" s="976">
        <v>0</v>
      </c>
      <c r="AV165" s="977">
        <v>0</v>
      </c>
      <c r="AW165" s="1040">
        <v>0</v>
      </c>
      <c r="AX165" s="987">
        <v>0</v>
      </c>
    </row>
    <row r="166" spans="10:50" ht="17.25">
      <c r="J166" s="1214"/>
      <c r="AL166" s="1035" t="s">
        <v>135</v>
      </c>
      <c r="AM166" s="1036" t="s">
        <v>135</v>
      </c>
      <c r="AN166" s="1037">
        <v>0</v>
      </c>
      <c r="AO166" s="1041">
        <v>0</v>
      </c>
      <c r="AP166" s="971">
        <v>0</v>
      </c>
      <c r="AQ166" s="1039">
        <v>0</v>
      </c>
      <c r="AR166" s="973">
        <v>0</v>
      </c>
      <c r="AS166" s="974">
        <v>0</v>
      </c>
      <c r="AT166" s="975" t="s">
        <v>135</v>
      </c>
      <c r="AU166" s="976">
        <v>0</v>
      </c>
      <c r="AV166" s="977">
        <v>0</v>
      </c>
      <c r="AW166" s="1040">
        <v>0</v>
      </c>
      <c r="AX166" s="987">
        <v>0</v>
      </c>
    </row>
    <row r="167" spans="10:50" ht="17.25">
      <c r="J167" s="1214"/>
      <c r="AL167" s="1035" t="s">
        <v>135</v>
      </c>
      <c r="AM167" s="1036" t="s">
        <v>135</v>
      </c>
      <c r="AN167" s="1037">
        <v>0</v>
      </c>
      <c r="AO167" s="1041">
        <v>0</v>
      </c>
      <c r="AP167" s="971">
        <v>0</v>
      </c>
      <c r="AQ167" s="1039">
        <v>0</v>
      </c>
      <c r="AR167" s="973">
        <v>0</v>
      </c>
      <c r="AS167" s="974">
        <v>0</v>
      </c>
      <c r="AT167" s="975" t="s">
        <v>135</v>
      </c>
      <c r="AU167" s="976">
        <v>0</v>
      </c>
      <c r="AV167" s="977">
        <v>0</v>
      </c>
      <c r="AW167" s="1040">
        <v>0</v>
      </c>
      <c r="AX167" s="987">
        <v>0</v>
      </c>
    </row>
    <row r="168" spans="10:50" ht="17.25">
      <c r="J168" s="1214"/>
      <c r="AL168" s="1035" t="s">
        <v>135</v>
      </c>
      <c r="AM168" s="1036" t="s">
        <v>135</v>
      </c>
      <c r="AN168" s="1037">
        <v>0</v>
      </c>
      <c r="AO168" s="1041">
        <v>0</v>
      </c>
      <c r="AP168" s="971">
        <v>0</v>
      </c>
      <c r="AQ168" s="1039">
        <v>0</v>
      </c>
      <c r="AR168" s="973">
        <v>0</v>
      </c>
      <c r="AS168" s="974">
        <v>0</v>
      </c>
      <c r="AT168" s="975" t="s">
        <v>135</v>
      </c>
      <c r="AU168" s="976">
        <v>0</v>
      </c>
      <c r="AV168" s="977">
        <v>0</v>
      </c>
      <c r="AW168" s="1040">
        <v>0</v>
      </c>
      <c r="AX168" s="987">
        <v>0</v>
      </c>
    </row>
    <row r="169" spans="10:50" ht="17.25">
      <c r="J169" s="1214"/>
      <c r="AL169" s="1035" t="s">
        <v>135</v>
      </c>
      <c r="AM169" s="1036" t="s">
        <v>135</v>
      </c>
      <c r="AN169" s="1037">
        <v>0</v>
      </c>
      <c r="AO169" s="1041">
        <v>0</v>
      </c>
      <c r="AP169" s="971">
        <v>0</v>
      </c>
      <c r="AQ169" s="1039">
        <v>0</v>
      </c>
      <c r="AR169" s="973">
        <v>0</v>
      </c>
      <c r="AS169" s="974">
        <v>0</v>
      </c>
      <c r="AT169" s="975" t="s">
        <v>135</v>
      </c>
      <c r="AU169" s="976">
        <v>0</v>
      </c>
      <c r="AV169" s="977">
        <v>0</v>
      </c>
      <c r="AW169" s="1040">
        <v>0</v>
      </c>
      <c r="AX169" s="987">
        <v>0</v>
      </c>
    </row>
    <row r="170" spans="10:50" ht="17.25">
      <c r="J170" s="1214"/>
      <c r="AL170" s="1035" t="s">
        <v>135</v>
      </c>
      <c r="AM170" s="1036" t="s">
        <v>135</v>
      </c>
      <c r="AN170" s="1037">
        <v>0</v>
      </c>
      <c r="AO170" s="1041">
        <v>0</v>
      </c>
      <c r="AP170" s="971">
        <v>0</v>
      </c>
      <c r="AQ170" s="1039">
        <v>0</v>
      </c>
      <c r="AR170" s="973">
        <v>0</v>
      </c>
      <c r="AS170" s="974">
        <v>0</v>
      </c>
      <c r="AT170" s="975" t="s">
        <v>135</v>
      </c>
      <c r="AU170" s="976">
        <v>0</v>
      </c>
      <c r="AV170" s="977">
        <v>0</v>
      </c>
      <c r="AW170" s="1040">
        <v>0</v>
      </c>
      <c r="AX170" s="987">
        <v>0</v>
      </c>
    </row>
    <row r="171" spans="10:50" ht="17.25">
      <c r="J171" s="1214"/>
      <c r="AL171" s="1035" t="s">
        <v>135</v>
      </c>
      <c r="AM171" s="1036" t="s">
        <v>135</v>
      </c>
      <c r="AN171" s="1037">
        <v>0</v>
      </c>
      <c r="AO171" s="1041">
        <v>0</v>
      </c>
      <c r="AP171" s="971">
        <v>0</v>
      </c>
      <c r="AQ171" s="1039">
        <v>0</v>
      </c>
      <c r="AR171" s="973">
        <v>0</v>
      </c>
      <c r="AS171" s="974">
        <v>0</v>
      </c>
      <c r="AT171" s="975" t="s">
        <v>135</v>
      </c>
      <c r="AU171" s="976">
        <v>0</v>
      </c>
      <c r="AV171" s="977">
        <v>0</v>
      </c>
      <c r="AW171" s="1040">
        <v>0</v>
      </c>
      <c r="AX171" s="987">
        <v>0</v>
      </c>
    </row>
    <row r="172" spans="10:50" ht="17.25">
      <c r="J172" s="1214"/>
      <c r="AL172" s="1035" t="s">
        <v>135</v>
      </c>
      <c r="AM172" s="1036" t="s">
        <v>135</v>
      </c>
      <c r="AN172" s="1037">
        <v>0</v>
      </c>
      <c r="AO172" s="1041">
        <v>0</v>
      </c>
      <c r="AP172" s="971">
        <v>0</v>
      </c>
      <c r="AQ172" s="1039">
        <v>0</v>
      </c>
      <c r="AR172" s="973">
        <v>0</v>
      </c>
      <c r="AS172" s="974">
        <v>0</v>
      </c>
      <c r="AT172" s="975" t="s">
        <v>135</v>
      </c>
      <c r="AU172" s="976">
        <v>0</v>
      </c>
      <c r="AV172" s="977">
        <v>0</v>
      </c>
      <c r="AW172" s="1040">
        <v>0</v>
      </c>
      <c r="AX172" s="987">
        <v>0</v>
      </c>
    </row>
    <row r="173" spans="10:50" ht="17.25">
      <c r="J173" s="1214"/>
      <c r="AL173" s="1035" t="s">
        <v>135</v>
      </c>
      <c r="AM173" s="1036" t="s">
        <v>135</v>
      </c>
      <c r="AN173" s="1037">
        <v>0</v>
      </c>
      <c r="AO173" s="1041">
        <v>0</v>
      </c>
      <c r="AP173" s="971">
        <v>0</v>
      </c>
      <c r="AQ173" s="1039">
        <v>0</v>
      </c>
      <c r="AR173" s="973">
        <v>0</v>
      </c>
      <c r="AS173" s="974">
        <v>0</v>
      </c>
      <c r="AT173" s="975" t="s">
        <v>135</v>
      </c>
      <c r="AU173" s="976">
        <v>0</v>
      </c>
      <c r="AV173" s="977">
        <v>0</v>
      </c>
      <c r="AW173" s="1040">
        <v>0</v>
      </c>
      <c r="AX173" s="987">
        <v>0</v>
      </c>
    </row>
    <row r="174" spans="10:50" ht="17.25">
      <c r="J174" s="1214"/>
      <c r="AL174" s="1035" t="s">
        <v>135</v>
      </c>
      <c r="AM174" s="1036" t="s">
        <v>135</v>
      </c>
      <c r="AN174" s="1037">
        <v>0</v>
      </c>
      <c r="AO174" s="1041">
        <v>0</v>
      </c>
      <c r="AP174" s="971">
        <v>0</v>
      </c>
      <c r="AQ174" s="1039">
        <v>0</v>
      </c>
      <c r="AR174" s="973">
        <v>0</v>
      </c>
      <c r="AS174" s="974">
        <v>0</v>
      </c>
      <c r="AT174" s="975" t="s">
        <v>135</v>
      </c>
      <c r="AU174" s="976">
        <v>0</v>
      </c>
      <c r="AV174" s="977">
        <v>0</v>
      </c>
      <c r="AW174" s="1040">
        <v>0</v>
      </c>
      <c r="AX174" s="987">
        <v>0</v>
      </c>
    </row>
    <row r="175" spans="10:50" ht="17.25">
      <c r="J175" s="1214"/>
      <c r="AL175" s="1035" t="s">
        <v>135</v>
      </c>
      <c r="AM175" s="1036" t="s">
        <v>135</v>
      </c>
      <c r="AN175" s="1037">
        <v>0</v>
      </c>
      <c r="AO175" s="1041">
        <v>0</v>
      </c>
      <c r="AP175" s="971">
        <v>0</v>
      </c>
      <c r="AQ175" s="1039">
        <v>0</v>
      </c>
      <c r="AR175" s="973">
        <v>0</v>
      </c>
      <c r="AS175" s="974">
        <v>0</v>
      </c>
      <c r="AT175" s="975" t="s">
        <v>135</v>
      </c>
      <c r="AU175" s="976">
        <v>0</v>
      </c>
      <c r="AV175" s="977">
        <v>0</v>
      </c>
      <c r="AW175" s="1040">
        <v>0</v>
      </c>
      <c r="AX175" s="987">
        <v>0</v>
      </c>
    </row>
    <row r="176" spans="10:50" ht="17.25">
      <c r="J176" s="1214"/>
      <c r="AL176" s="1035" t="s">
        <v>135</v>
      </c>
      <c r="AM176" s="1036" t="s">
        <v>135</v>
      </c>
      <c r="AN176" s="1037">
        <v>0</v>
      </c>
      <c r="AO176" s="1041">
        <v>0</v>
      </c>
      <c r="AP176" s="971">
        <v>0</v>
      </c>
      <c r="AQ176" s="1039">
        <v>0</v>
      </c>
      <c r="AR176" s="973">
        <v>0</v>
      </c>
      <c r="AS176" s="974">
        <v>0</v>
      </c>
      <c r="AT176" s="975" t="s">
        <v>135</v>
      </c>
      <c r="AU176" s="976">
        <v>0</v>
      </c>
      <c r="AV176" s="977">
        <v>0</v>
      </c>
      <c r="AW176" s="1040">
        <v>0</v>
      </c>
      <c r="AX176" s="987">
        <v>0</v>
      </c>
    </row>
    <row r="177" spans="10:50" ht="17.25">
      <c r="J177" s="1214"/>
      <c r="AL177" s="1035" t="s">
        <v>135</v>
      </c>
      <c r="AM177" s="1036" t="s">
        <v>135</v>
      </c>
      <c r="AN177" s="1037">
        <v>0</v>
      </c>
      <c r="AO177" s="1041">
        <v>0</v>
      </c>
      <c r="AP177" s="971">
        <v>0</v>
      </c>
      <c r="AQ177" s="1039">
        <v>0</v>
      </c>
      <c r="AR177" s="973">
        <v>0</v>
      </c>
      <c r="AS177" s="974">
        <v>0</v>
      </c>
      <c r="AT177" s="975" t="s">
        <v>135</v>
      </c>
      <c r="AU177" s="976">
        <v>0</v>
      </c>
      <c r="AV177" s="977">
        <v>0</v>
      </c>
      <c r="AW177" s="1040">
        <v>0</v>
      </c>
      <c r="AX177" s="987">
        <v>0</v>
      </c>
    </row>
    <row r="178" spans="10:50" ht="17.25">
      <c r="J178" s="1214"/>
      <c r="AL178" s="1035" t="s">
        <v>135</v>
      </c>
      <c r="AM178" s="1036" t="s">
        <v>135</v>
      </c>
      <c r="AN178" s="1037">
        <v>0</v>
      </c>
      <c r="AO178" s="1041">
        <v>0</v>
      </c>
      <c r="AP178" s="971">
        <v>0</v>
      </c>
      <c r="AQ178" s="1039">
        <v>0</v>
      </c>
      <c r="AR178" s="973">
        <v>0</v>
      </c>
      <c r="AS178" s="974">
        <v>0</v>
      </c>
      <c r="AT178" s="975" t="s">
        <v>135</v>
      </c>
      <c r="AU178" s="976">
        <v>0</v>
      </c>
      <c r="AV178" s="977">
        <v>0</v>
      </c>
      <c r="AW178" s="1040">
        <v>0</v>
      </c>
      <c r="AX178" s="987">
        <v>0</v>
      </c>
    </row>
    <row r="179" spans="10:50" ht="17.25">
      <c r="J179" s="1214"/>
      <c r="AL179" s="1035" t="s">
        <v>135</v>
      </c>
      <c r="AM179" s="1036" t="s">
        <v>135</v>
      </c>
      <c r="AN179" s="1037">
        <v>0</v>
      </c>
      <c r="AO179" s="1041">
        <v>0</v>
      </c>
      <c r="AP179" s="971">
        <v>0</v>
      </c>
      <c r="AQ179" s="1039">
        <v>0</v>
      </c>
      <c r="AR179" s="973">
        <v>0</v>
      </c>
      <c r="AS179" s="974">
        <v>0</v>
      </c>
      <c r="AT179" s="975" t="s">
        <v>135</v>
      </c>
      <c r="AU179" s="976">
        <v>0</v>
      </c>
      <c r="AV179" s="977">
        <v>0</v>
      </c>
      <c r="AW179" s="1040">
        <v>0</v>
      </c>
      <c r="AX179" s="987">
        <v>0</v>
      </c>
    </row>
    <row r="180" spans="10:50" ht="17.25">
      <c r="J180" s="1214"/>
      <c r="AL180" s="1035" t="s">
        <v>135</v>
      </c>
      <c r="AM180" s="1036" t="s">
        <v>135</v>
      </c>
      <c r="AN180" s="1037">
        <v>0</v>
      </c>
      <c r="AO180" s="1041">
        <v>0</v>
      </c>
      <c r="AP180" s="971">
        <v>0</v>
      </c>
      <c r="AQ180" s="1039">
        <v>0</v>
      </c>
      <c r="AR180" s="973">
        <v>0</v>
      </c>
      <c r="AS180" s="974">
        <v>0</v>
      </c>
      <c r="AT180" s="975" t="s">
        <v>135</v>
      </c>
      <c r="AU180" s="976">
        <v>0</v>
      </c>
      <c r="AV180" s="977">
        <v>0</v>
      </c>
      <c r="AW180" s="1040">
        <v>0</v>
      </c>
      <c r="AX180" s="987">
        <v>0</v>
      </c>
    </row>
    <row r="181" spans="10:50" ht="17.25">
      <c r="J181" s="1214"/>
      <c r="AL181" s="1035" t="s">
        <v>135</v>
      </c>
      <c r="AM181" s="1036" t="s">
        <v>135</v>
      </c>
      <c r="AN181" s="1037">
        <v>0</v>
      </c>
      <c r="AO181" s="1041">
        <v>0</v>
      </c>
      <c r="AP181" s="971">
        <v>0</v>
      </c>
      <c r="AQ181" s="1039">
        <v>0</v>
      </c>
      <c r="AR181" s="973">
        <v>0</v>
      </c>
      <c r="AS181" s="974">
        <v>0</v>
      </c>
      <c r="AT181" s="975" t="s">
        <v>135</v>
      </c>
      <c r="AU181" s="976">
        <v>0</v>
      </c>
      <c r="AV181" s="977">
        <v>0</v>
      </c>
      <c r="AW181" s="1040">
        <v>0</v>
      </c>
      <c r="AX181" s="987">
        <v>0</v>
      </c>
    </row>
    <row r="182" spans="10:50" ht="17.25">
      <c r="J182" s="1214"/>
      <c r="AL182" s="1035" t="s">
        <v>135</v>
      </c>
      <c r="AM182" s="1036" t="s">
        <v>135</v>
      </c>
      <c r="AN182" s="1037">
        <v>0</v>
      </c>
      <c r="AO182" s="1041">
        <v>0</v>
      </c>
      <c r="AP182" s="971">
        <v>0</v>
      </c>
      <c r="AQ182" s="1039">
        <v>0</v>
      </c>
      <c r="AR182" s="973">
        <v>0</v>
      </c>
      <c r="AS182" s="974">
        <v>0</v>
      </c>
      <c r="AT182" s="975" t="s">
        <v>135</v>
      </c>
      <c r="AU182" s="976">
        <v>0</v>
      </c>
      <c r="AV182" s="977">
        <v>0</v>
      </c>
      <c r="AW182" s="1040">
        <v>0</v>
      </c>
      <c r="AX182" s="987">
        <v>0</v>
      </c>
    </row>
    <row r="183" spans="10:50" ht="17.25">
      <c r="J183" s="1214"/>
      <c r="AL183" s="1035" t="s">
        <v>135</v>
      </c>
      <c r="AM183" s="1036" t="s">
        <v>135</v>
      </c>
      <c r="AN183" s="1037">
        <v>0</v>
      </c>
      <c r="AO183" s="1041">
        <v>0</v>
      </c>
      <c r="AP183" s="971">
        <v>0</v>
      </c>
      <c r="AQ183" s="1039">
        <v>0</v>
      </c>
      <c r="AR183" s="973">
        <v>0</v>
      </c>
      <c r="AS183" s="974">
        <v>0</v>
      </c>
      <c r="AT183" s="975" t="s">
        <v>135</v>
      </c>
      <c r="AU183" s="976">
        <v>0</v>
      </c>
      <c r="AV183" s="977">
        <v>0</v>
      </c>
      <c r="AW183" s="1040">
        <v>0</v>
      </c>
      <c r="AX183" s="987">
        <v>0</v>
      </c>
    </row>
    <row r="184" spans="10:50" ht="17.25">
      <c r="J184" s="1214"/>
      <c r="AL184" s="1035" t="s">
        <v>135</v>
      </c>
      <c r="AM184" s="1036" t="s">
        <v>135</v>
      </c>
      <c r="AN184" s="1037">
        <v>0</v>
      </c>
      <c r="AO184" s="1041">
        <v>0</v>
      </c>
      <c r="AP184" s="971">
        <v>0</v>
      </c>
      <c r="AQ184" s="1039">
        <v>0</v>
      </c>
      <c r="AR184" s="973">
        <v>0</v>
      </c>
      <c r="AS184" s="974">
        <v>0</v>
      </c>
      <c r="AT184" s="975" t="s">
        <v>135</v>
      </c>
      <c r="AU184" s="976">
        <v>0</v>
      </c>
      <c r="AV184" s="977">
        <v>0</v>
      </c>
      <c r="AW184" s="1040">
        <v>0</v>
      </c>
      <c r="AX184" s="987">
        <v>0</v>
      </c>
    </row>
    <row r="185" spans="10:50" ht="17.25">
      <c r="J185" s="1214"/>
      <c r="AL185" s="1035" t="s">
        <v>135</v>
      </c>
      <c r="AM185" s="1036" t="s">
        <v>135</v>
      </c>
      <c r="AN185" s="1037">
        <v>0</v>
      </c>
      <c r="AO185" s="1041">
        <v>0</v>
      </c>
      <c r="AP185" s="971">
        <v>0</v>
      </c>
      <c r="AQ185" s="1039">
        <v>0</v>
      </c>
      <c r="AR185" s="973">
        <v>0</v>
      </c>
      <c r="AS185" s="974">
        <v>0</v>
      </c>
      <c r="AT185" s="975" t="s">
        <v>135</v>
      </c>
      <c r="AU185" s="976">
        <v>0</v>
      </c>
      <c r="AV185" s="977">
        <v>0</v>
      </c>
      <c r="AW185" s="1040">
        <v>0</v>
      </c>
      <c r="AX185" s="987">
        <v>0</v>
      </c>
    </row>
    <row r="186" spans="10:50" ht="17.25">
      <c r="J186" s="1214"/>
      <c r="AL186" s="1035" t="s">
        <v>135</v>
      </c>
      <c r="AM186" s="1036" t="s">
        <v>135</v>
      </c>
      <c r="AN186" s="1037">
        <v>0</v>
      </c>
      <c r="AO186" s="1041">
        <v>0</v>
      </c>
      <c r="AP186" s="971">
        <v>0</v>
      </c>
      <c r="AQ186" s="1039">
        <v>0</v>
      </c>
      <c r="AR186" s="973">
        <v>0</v>
      </c>
      <c r="AS186" s="974">
        <v>0</v>
      </c>
      <c r="AT186" s="975" t="s">
        <v>135</v>
      </c>
      <c r="AU186" s="976">
        <v>0</v>
      </c>
      <c r="AV186" s="977">
        <v>0</v>
      </c>
      <c r="AW186" s="1040">
        <v>0</v>
      </c>
      <c r="AX186" s="987">
        <v>0</v>
      </c>
    </row>
    <row r="187" spans="10:50" ht="17.25">
      <c r="J187" s="1214"/>
      <c r="AL187" s="1035" t="s">
        <v>135</v>
      </c>
      <c r="AM187" s="1036" t="s">
        <v>135</v>
      </c>
      <c r="AN187" s="1037">
        <v>0</v>
      </c>
      <c r="AO187" s="1041">
        <v>0</v>
      </c>
      <c r="AP187" s="971">
        <v>0</v>
      </c>
      <c r="AQ187" s="1039">
        <v>0</v>
      </c>
      <c r="AR187" s="973">
        <v>0</v>
      </c>
      <c r="AS187" s="974">
        <v>0</v>
      </c>
      <c r="AT187" s="975" t="s">
        <v>135</v>
      </c>
      <c r="AU187" s="976">
        <v>0</v>
      </c>
      <c r="AV187" s="977">
        <v>0</v>
      </c>
      <c r="AW187" s="1040">
        <v>0</v>
      </c>
      <c r="AX187" s="987">
        <v>0</v>
      </c>
    </row>
    <row r="188" spans="10:50" ht="17.25">
      <c r="J188" s="1214"/>
      <c r="AL188" s="1035" t="s">
        <v>135</v>
      </c>
      <c r="AM188" s="1036" t="s">
        <v>135</v>
      </c>
      <c r="AN188" s="1037">
        <v>0</v>
      </c>
      <c r="AO188" s="1041">
        <v>0</v>
      </c>
      <c r="AP188" s="971">
        <v>0</v>
      </c>
      <c r="AQ188" s="1039">
        <v>0</v>
      </c>
      <c r="AR188" s="973">
        <v>0</v>
      </c>
      <c r="AS188" s="974">
        <v>0</v>
      </c>
      <c r="AT188" s="975" t="s">
        <v>135</v>
      </c>
      <c r="AU188" s="976">
        <v>0</v>
      </c>
      <c r="AV188" s="977">
        <v>0</v>
      </c>
      <c r="AW188" s="1040">
        <v>0</v>
      </c>
      <c r="AX188" s="987">
        <v>0</v>
      </c>
    </row>
    <row r="189" spans="10:50" ht="17.25">
      <c r="J189" s="1214"/>
      <c r="AL189" s="1035" t="s">
        <v>135</v>
      </c>
      <c r="AM189" s="1036" t="s">
        <v>135</v>
      </c>
      <c r="AN189" s="1037">
        <v>0</v>
      </c>
      <c r="AO189" s="1041">
        <v>0</v>
      </c>
      <c r="AP189" s="971">
        <v>0</v>
      </c>
      <c r="AQ189" s="1039">
        <v>0</v>
      </c>
      <c r="AR189" s="973">
        <v>0</v>
      </c>
      <c r="AS189" s="974">
        <v>0</v>
      </c>
      <c r="AT189" s="975" t="s">
        <v>135</v>
      </c>
      <c r="AU189" s="976">
        <v>0</v>
      </c>
      <c r="AV189" s="977">
        <v>0</v>
      </c>
      <c r="AW189" s="1040">
        <v>0</v>
      </c>
      <c r="AX189" s="987">
        <v>0</v>
      </c>
    </row>
    <row r="190" spans="10:50" ht="17.25">
      <c r="J190" s="1214"/>
      <c r="AL190" s="1035" t="s">
        <v>135</v>
      </c>
      <c r="AM190" s="1036" t="s">
        <v>135</v>
      </c>
      <c r="AN190" s="1037">
        <v>0</v>
      </c>
      <c r="AO190" s="1041">
        <v>0</v>
      </c>
      <c r="AP190" s="971">
        <v>0</v>
      </c>
      <c r="AQ190" s="1039">
        <v>0</v>
      </c>
      <c r="AR190" s="973">
        <v>0</v>
      </c>
      <c r="AS190" s="974">
        <v>0</v>
      </c>
      <c r="AT190" s="975" t="s">
        <v>135</v>
      </c>
      <c r="AU190" s="976">
        <v>0</v>
      </c>
      <c r="AV190" s="977">
        <v>0</v>
      </c>
      <c r="AW190" s="1040">
        <v>0</v>
      </c>
      <c r="AX190" s="987">
        <v>0</v>
      </c>
    </row>
    <row r="191" spans="10:50" ht="17.25">
      <c r="J191" s="1214"/>
      <c r="AL191" s="1035" t="s">
        <v>135</v>
      </c>
      <c r="AM191" s="1036" t="s">
        <v>135</v>
      </c>
      <c r="AN191" s="1037">
        <v>0</v>
      </c>
      <c r="AO191" s="1041">
        <v>0</v>
      </c>
      <c r="AP191" s="971">
        <v>0</v>
      </c>
      <c r="AQ191" s="1039">
        <v>0</v>
      </c>
      <c r="AR191" s="973">
        <v>0</v>
      </c>
      <c r="AS191" s="974">
        <v>0</v>
      </c>
      <c r="AT191" s="975" t="s">
        <v>135</v>
      </c>
      <c r="AU191" s="976">
        <v>0</v>
      </c>
      <c r="AV191" s="977">
        <v>0</v>
      </c>
      <c r="AW191" s="1040">
        <v>0</v>
      </c>
      <c r="AX191" s="987">
        <v>0</v>
      </c>
    </row>
    <row r="192" spans="10:50" ht="17.25">
      <c r="J192" s="1214"/>
      <c r="AL192" s="1035" t="s">
        <v>135</v>
      </c>
      <c r="AM192" s="1036" t="s">
        <v>135</v>
      </c>
      <c r="AN192" s="1037">
        <v>0</v>
      </c>
      <c r="AO192" s="1041">
        <v>0</v>
      </c>
      <c r="AP192" s="971">
        <v>0</v>
      </c>
      <c r="AQ192" s="1039">
        <v>0</v>
      </c>
      <c r="AR192" s="973">
        <v>0</v>
      </c>
      <c r="AS192" s="974">
        <v>0</v>
      </c>
      <c r="AT192" s="975" t="s">
        <v>135</v>
      </c>
      <c r="AU192" s="976">
        <v>0</v>
      </c>
      <c r="AV192" s="977">
        <v>0</v>
      </c>
      <c r="AW192" s="1040">
        <v>0</v>
      </c>
      <c r="AX192" s="987">
        <v>0</v>
      </c>
    </row>
    <row r="193" spans="10:50" ht="17.25">
      <c r="J193" s="1214"/>
      <c r="AL193" s="1035" t="s">
        <v>135</v>
      </c>
      <c r="AM193" s="1036" t="s">
        <v>135</v>
      </c>
      <c r="AN193" s="1037">
        <v>0</v>
      </c>
      <c r="AO193" s="1041">
        <v>0</v>
      </c>
      <c r="AP193" s="971">
        <v>0</v>
      </c>
      <c r="AQ193" s="1039">
        <v>0</v>
      </c>
      <c r="AR193" s="973">
        <v>0</v>
      </c>
      <c r="AS193" s="974">
        <v>0</v>
      </c>
      <c r="AT193" s="975" t="s">
        <v>135</v>
      </c>
      <c r="AU193" s="976">
        <v>0</v>
      </c>
      <c r="AV193" s="977">
        <v>0</v>
      </c>
      <c r="AW193" s="1040">
        <v>0</v>
      </c>
      <c r="AX193" s="987">
        <v>0</v>
      </c>
    </row>
    <row r="194" spans="10:50" ht="17.25">
      <c r="J194" s="1214"/>
      <c r="AL194" s="1035" t="s">
        <v>135</v>
      </c>
      <c r="AM194" s="1036" t="s">
        <v>135</v>
      </c>
      <c r="AN194" s="1037">
        <v>0</v>
      </c>
      <c r="AO194" s="1041">
        <v>0</v>
      </c>
      <c r="AP194" s="971">
        <v>0</v>
      </c>
      <c r="AQ194" s="1039">
        <v>0</v>
      </c>
      <c r="AR194" s="973">
        <v>0</v>
      </c>
      <c r="AS194" s="974">
        <v>0</v>
      </c>
      <c r="AT194" s="975" t="s">
        <v>135</v>
      </c>
      <c r="AU194" s="976">
        <v>0</v>
      </c>
      <c r="AV194" s="977">
        <v>0</v>
      </c>
      <c r="AW194" s="1040">
        <v>0</v>
      </c>
      <c r="AX194" s="987">
        <v>0</v>
      </c>
    </row>
    <row r="195" spans="10:50" ht="17.25">
      <c r="J195" s="1214"/>
      <c r="AL195" s="1035" t="s">
        <v>135</v>
      </c>
      <c r="AM195" s="1036" t="s">
        <v>135</v>
      </c>
      <c r="AN195" s="1037">
        <v>0</v>
      </c>
      <c r="AO195" s="1041">
        <v>0</v>
      </c>
      <c r="AP195" s="971">
        <v>0</v>
      </c>
      <c r="AQ195" s="1039">
        <v>0</v>
      </c>
      <c r="AR195" s="973">
        <v>0</v>
      </c>
      <c r="AS195" s="974">
        <v>0</v>
      </c>
      <c r="AT195" s="975" t="s">
        <v>135</v>
      </c>
      <c r="AU195" s="976">
        <v>0</v>
      </c>
      <c r="AV195" s="977">
        <v>0</v>
      </c>
      <c r="AW195" s="1040">
        <v>0</v>
      </c>
      <c r="AX195" s="987">
        <v>0</v>
      </c>
    </row>
    <row r="196" spans="10:50" ht="17.25">
      <c r="J196" s="1214"/>
      <c r="AL196" s="1035" t="s">
        <v>135</v>
      </c>
      <c r="AM196" s="1036" t="s">
        <v>135</v>
      </c>
      <c r="AN196" s="1037">
        <v>0</v>
      </c>
      <c r="AO196" s="1041">
        <v>0</v>
      </c>
      <c r="AP196" s="971">
        <v>0</v>
      </c>
      <c r="AQ196" s="1039">
        <v>0</v>
      </c>
      <c r="AR196" s="973">
        <v>0</v>
      </c>
      <c r="AS196" s="974">
        <v>0</v>
      </c>
      <c r="AT196" s="975" t="s">
        <v>135</v>
      </c>
      <c r="AU196" s="976">
        <v>0</v>
      </c>
      <c r="AV196" s="977">
        <v>0</v>
      </c>
      <c r="AW196" s="1040">
        <v>0</v>
      </c>
      <c r="AX196" s="987">
        <v>0</v>
      </c>
    </row>
    <row r="197" spans="10:50" ht="17.25">
      <c r="J197" s="1214"/>
      <c r="AL197" s="1035" t="s">
        <v>135</v>
      </c>
      <c r="AM197" s="1036" t="s">
        <v>135</v>
      </c>
      <c r="AN197" s="1037">
        <v>0</v>
      </c>
      <c r="AO197" s="1041">
        <v>0</v>
      </c>
      <c r="AP197" s="971">
        <v>0</v>
      </c>
      <c r="AQ197" s="1039">
        <v>0</v>
      </c>
      <c r="AR197" s="973">
        <v>0</v>
      </c>
      <c r="AS197" s="974">
        <v>0</v>
      </c>
      <c r="AT197" s="975" t="s">
        <v>135</v>
      </c>
      <c r="AU197" s="976">
        <v>0</v>
      </c>
      <c r="AV197" s="977">
        <v>0</v>
      </c>
      <c r="AW197" s="1040">
        <v>0</v>
      </c>
      <c r="AX197" s="987">
        <v>0</v>
      </c>
    </row>
    <row r="198" spans="10:50" ht="17.25">
      <c r="J198" s="1214"/>
      <c r="AL198" s="1035" t="s">
        <v>135</v>
      </c>
      <c r="AM198" s="1036" t="s">
        <v>135</v>
      </c>
      <c r="AN198" s="1037">
        <v>0</v>
      </c>
      <c r="AO198" s="1041">
        <v>0</v>
      </c>
      <c r="AP198" s="971">
        <v>0</v>
      </c>
      <c r="AQ198" s="1039">
        <v>0</v>
      </c>
      <c r="AR198" s="973">
        <v>0</v>
      </c>
      <c r="AS198" s="974">
        <v>0</v>
      </c>
      <c r="AT198" s="975" t="s">
        <v>135</v>
      </c>
      <c r="AU198" s="976">
        <v>0</v>
      </c>
      <c r="AV198" s="977">
        <v>0</v>
      </c>
      <c r="AW198" s="1040">
        <v>0</v>
      </c>
      <c r="AX198" s="987">
        <v>0</v>
      </c>
    </row>
    <row r="199" spans="10:50" ht="17.25">
      <c r="J199" s="1214"/>
      <c r="AL199" s="1035" t="s">
        <v>135</v>
      </c>
      <c r="AM199" s="1036" t="s">
        <v>135</v>
      </c>
      <c r="AN199" s="1037">
        <v>0</v>
      </c>
      <c r="AO199" s="1041">
        <v>0</v>
      </c>
      <c r="AP199" s="971">
        <v>0</v>
      </c>
      <c r="AQ199" s="1039">
        <v>0</v>
      </c>
      <c r="AR199" s="973">
        <v>0</v>
      </c>
      <c r="AS199" s="974">
        <v>0</v>
      </c>
      <c r="AT199" s="975" t="s">
        <v>135</v>
      </c>
      <c r="AU199" s="976">
        <v>0</v>
      </c>
      <c r="AV199" s="977">
        <v>0</v>
      </c>
      <c r="AW199" s="1040">
        <v>0</v>
      </c>
      <c r="AX199" s="987">
        <v>0</v>
      </c>
    </row>
    <row r="200" spans="10:50" ht="17.25">
      <c r="J200" s="1214"/>
      <c r="AL200" s="1035" t="s">
        <v>135</v>
      </c>
      <c r="AM200" s="1036" t="s">
        <v>135</v>
      </c>
      <c r="AN200" s="1037">
        <v>0</v>
      </c>
      <c r="AO200" s="1041">
        <v>0</v>
      </c>
      <c r="AP200" s="971">
        <v>0</v>
      </c>
      <c r="AQ200" s="1039">
        <v>0</v>
      </c>
      <c r="AR200" s="973">
        <v>0</v>
      </c>
      <c r="AS200" s="974">
        <v>0</v>
      </c>
      <c r="AT200" s="975" t="s">
        <v>135</v>
      </c>
      <c r="AU200" s="976">
        <v>0</v>
      </c>
      <c r="AV200" s="977">
        <v>0</v>
      </c>
      <c r="AW200" s="1040">
        <v>0</v>
      </c>
      <c r="AX200" s="987">
        <v>0</v>
      </c>
    </row>
    <row r="201" spans="10:50" ht="17.25">
      <c r="J201" s="1214"/>
      <c r="AL201" s="1035" t="s">
        <v>135</v>
      </c>
      <c r="AM201" s="1036" t="s">
        <v>135</v>
      </c>
      <c r="AN201" s="1037">
        <v>0</v>
      </c>
      <c r="AO201" s="1041">
        <v>0</v>
      </c>
      <c r="AP201" s="971">
        <v>0</v>
      </c>
      <c r="AQ201" s="1039">
        <v>0</v>
      </c>
      <c r="AR201" s="973">
        <v>0</v>
      </c>
      <c r="AS201" s="974">
        <v>0</v>
      </c>
      <c r="AT201" s="975" t="s">
        <v>135</v>
      </c>
      <c r="AU201" s="976">
        <v>0</v>
      </c>
      <c r="AV201" s="977">
        <v>0</v>
      </c>
      <c r="AW201" s="1040">
        <v>0</v>
      </c>
      <c r="AX201" s="987">
        <v>0</v>
      </c>
    </row>
    <row r="202" spans="10:50" ht="17.25">
      <c r="J202" s="1214"/>
      <c r="AL202" s="1035" t="s">
        <v>135</v>
      </c>
      <c r="AM202" s="1036" t="s">
        <v>135</v>
      </c>
      <c r="AN202" s="1037">
        <v>0</v>
      </c>
      <c r="AO202" s="1041">
        <v>0</v>
      </c>
      <c r="AP202" s="971">
        <v>0</v>
      </c>
      <c r="AQ202" s="1039">
        <v>0</v>
      </c>
      <c r="AR202" s="973">
        <v>0</v>
      </c>
      <c r="AS202" s="974">
        <v>0</v>
      </c>
      <c r="AT202" s="975" t="s">
        <v>135</v>
      </c>
      <c r="AU202" s="976">
        <v>0</v>
      </c>
      <c r="AV202" s="977">
        <v>0</v>
      </c>
      <c r="AW202" s="1040">
        <v>0</v>
      </c>
      <c r="AX202" s="987">
        <v>0</v>
      </c>
    </row>
    <row r="203" spans="10:50" ht="17.25">
      <c r="J203" s="1214"/>
      <c r="AL203" s="1035" t="s">
        <v>135</v>
      </c>
      <c r="AM203" s="1036" t="s">
        <v>135</v>
      </c>
      <c r="AN203" s="1037">
        <v>0</v>
      </c>
      <c r="AO203" s="1041">
        <v>0</v>
      </c>
      <c r="AP203" s="971">
        <v>0</v>
      </c>
      <c r="AQ203" s="1039">
        <v>0</v>
      </c>
      <c r="AR203" s="973">
        <v>0</v>
      </c>
      <c r="AS203" s="974">
        <v>0</v>
      </c>
      <c r="AT203" s="975" t="s">
        <v>135</v>
      </c>
      <c r="AU203" s="976">
        <v>0</v>
      </c>
      <c r="AV203" s="977">
        <v>0</v>
      </c>
      <c r="AW203" s="1040">
        <v>0</v>
      </c>
      <c r="AX203" s="987">
        <v>0</v>
      </c>
    </row>
    <row r="204" spans="10:50" ht="17.25">
      <c r="J204" s="1214"/>
      <c r="AL204" s="1035" t="s">
        <v>135</v>
      </c>
      <c r="AM204" s="1036" t="s">
        <v>135</v>
      </c>
      <c r="AN204" s="1037">
        <v>0</v>
      </c>
      <c r="AO204" s="1041">
        <v>0</v>
      </c>
      <c r="AP204" s="971">
        <v>0</v>
      </c>
      <c r="AQ204" s="1039">
        <v>0</v>
      </c>
      <c r="AR204" s="973">
        <v>0</v>
      </c>
      <c r="AS204" s="974">
        <v>0</v>
      </c>
      <c r="AT204" s="975" t="s">
        <v>135</v>
      </c>
      <c r="AU204" s="976">
        <v>0</v>
      </c>
      <c r="AV204" s="977">
        <v>0</v>
      </c>
      <c r="AW204" s="1040">
        <v>0</v>
      </c>
      <c r="AX204" s="987">
        <v>0</v>
      </c>
    </row>
    <row r="205" spans="10:50" ht="17.25">
      <c r="J205" s="1214"/>
      <c r="AL205" s="1035" t="s">
        <v>135</v>
      </c>
      <c r="AM205" s="1036" t="s">
        <v>135</v>
      </c>
      <c r="AN205" s="1037">
        <v>0</v>
      </c>
      <c r="AO205" s="1041">
        <v>0</v>
      </c>
      <c r="AP205" s="971">
        <v>0</v>
      </c>
      <c r="AQ205" s="1039">
        <v>0</v>
      </c>
      <c r="AR205" s="973">
        <v>0</v>
      </c>
      <c r="AS205" s="974">
        <v>0</v>
      </c>
      <c r="AT205" s="975" t="s">
        <v>135</v>
      </c>
      <c r="AU205" s="976">
        <v>0</v>
      </c>
      <c r="AV205" s="977">
        <v>0</v>
      </c>
      <c r="AW205" s="1040">
        <v>0</v>
      </c>
      <c r="AX205" s="987">
        <v>0</v>
      </c>
    </row>
    <row r="206" spans="10:50" ht="17.25">
      <c r="J206" s="1214"/>
      <c r="AL206" s="1035" t="s">
        <v>135</v>
      </c>
      <c r="AM206" s="1036" t="s">
        <v>135</v>
      </c>
      <c r="AN206" s="1037">
        <v>0</v>
      </c>
      <c r="AO206" s="1041">
        <v>0</v>
      </c>
      <c r="AP206" s="971">
        <v>0</v>
      </c>
      <c r="AQ206" s="1039">
        <v>0</v>
      </c>
      <c r="AR206" s="973">
        <v>0</v>
      </c>
      <c r="AS206" s="974">
        <v>0</v>
      </c>
      <c r="AT206" s="975" t="s">
        <v>135</v>
      </c>
      <c r="AU206" s="976">
        <v>0</v>
      </c>
      <c r="AV206" s="977">
        <v>0</v>
      </c>
      <c r="AW206" s="1040">
        <v>0</v>
      </c>
      <c r="AX206" s="987">
        <v>0</v>
      </c>
    </row>
    <row r="207" spans="10:50" ht="17.25">
      <c r="J207" s="1214"/>
      <c r="AL207" s="1035" t="s">
        <v>135</v>
      </c>
      <c r="AM207" s="1036" t="s">
        <v>135</v>
      </c>
      <c r="AN207" s="1037">
        <v>0</v>
      </c>
      <c r="AO207" s="1041">
        <v>0</v>
      </c>
      <c r="AP207" s="971">
        <v>0</v>
      </c>
      <c r="AQ207" s="1039">
        <v>0</v>
      </c>
      <c r="AR207" s="973">
        <v>0</v>
      </c>
      <c r="AS207" s="974">
        <v>0</v>
      </c>
      <c r="AT207" s="975" t="s">
        <v>135</v>
      </c>
      <c r="AU207" s="976">
        <v>0</v>
      </c>
      <c r="AV207" s="977">
        <v>0</v>
      </c>
      <c r="AW207" s="1040">
        <v>0</v>
      </c>
      <c r="AX207" s="987">
        <v>0</v>
      </c>
    </row>
    <row r="208" spans="10:50" ht="17.25">
      <c r="J208" s="1214"/>
      <c r="AL208" s="1035" t="s">
        <v>135</v>
      </c>
      <c r="AM208" s="1036" t="s">
        <v>135</v>
      </c>
      <c r="AN208" s="1037">
        <v>0</v>
      </c>
      <c r="AO208" s="1041">
        <v>0</v>
      </c>
      <c r="AP208" s="971">
        <v>0</v>
      </c>
      <c r="AQ208" s="1039">
        <v>0</v>
      </c>
      <c r="AR208" s="973">
        <v>0</v>
      </c>
      <c r="AS208" s="974">
        <v>0</v>
      </c>
      <c r="AT208" s="975" t="s">
        <v>135</v>
      </c>
      <c r="AU208" s="976">
        <v>0</v>
      </c>
      <c r="AV208" s="977">
        <v>0</v>
      </c>
      <c r="AW208" s="1040">
        <v>0</v>
      </c>
      <c r="AX208" s="987">
        <v>0</v>
      </c>
    </row>
    <row r="209" spans="10:50" ht="17.25">
      <c r="J209" s="1214"/>
      <c r="AL209" s="1035" t="s">
        <v>135</v>
      </c>
      <c r="AM209" s="1036" t="s">
        <v>135</v>
      </c>
      <c r="AN209" s="1037">
        <v>0</v>
      </c>
      <c r="AO209" s="1041">
        <v>0</v>
      </c>
      <c r="AP209" s="971">
        <v>0</v>
      </c>
      <c r="AQ209" s="1039">
        <v>0</v>
      </c>
      <c r="AR209" s="973">
        <v>0</v>
      </c>
      <c r="AS209" s="974">
        <v>0</v>
      </c>
      <c r="AT209" s="975" t="s">
        <v>135</v>
      </c>
      <c r="AU209" s="976">
        <v>0</v>
      </c>
      <c r="AV209" s="977">
        <v>0</v>
      </c>
      <c r="AW209" s="1040">
        <v>0</v>
      </c>
      <c r="AX209" s="987">
        <v>0</v>
      </c>
    </row>
    <row r="210" spans="10:50" ht="17.25">
      <c r="J210" s="1214"/>
      <c r="AL210" s="1035" t="s">
        <v>135</v>
      </c>
      <c r="AM210" s="1036" t="s">
        <v>135</v>
      </c>
      <c r="AN210" s="1037">
        <v>0</v>
      </c>
      <c r="AO210" s="1041">
        <v>0</v>
      </c>
      <c r="AP210" s="971">
        <v>0</v>
      </c>
      <c r="AQ210" s="1039">
        <v>0</v>
      </c>
      <c r="AR210" s="973">
        <v>0</v>
      </c>
      <c r="AS210" s="974">
        <v>0</v>
      </c>
      <c r="AT210" s="975" t="s">
        <v>135</v>
      </c>
      <c r="AU210" s="976">
        <v>0</v>
      </c>
      <c r="AV210" s="977">
        <v>0</v>
      </c>
      <c r="AW210" s="1040">
        <v>0</v>
      </c>
      <c r="AX210" s="987">
        <v>0</v>
      </c>
    </row>
    <row r="211" spans="10:50" ht="17.25">
      <c r="J211" s="1214"/>
      <c r="AL211" s="1035" t="s">
        <v>135</v>
      </c>
      <c r="AM211" s="1036" t="s">
        <v>135</v>
      </c>
      <c r="AN211" s="1037">
        <v>0</v>
      </c>
      <c r="AO211" s="1041">
        <v>0</v>
      </c>
      <c r="AP211" s="971">
        <v>0</v>
      </c>
      <c r="AQ211" s="1039">
        <v>0</v>
      </c>
      <c r="AR211" s="973">
        <v>0</v>
      </c>
      <c r="AS211" s="974">
        <v>0</v>
      </c>
      <c r="AT211" s="975" t="s">
        <v>135</v>
      </c>
      <c r="AU211" s="976">
        <v>0</v>
      </c>
      <c r="AV211" s="977">
        <v>0</v>
      </c>
      <c r="AW211" s="1040">
        <v>0</v>
      </c>
      <c r="AX211" s="987">
        <v>0</v>
      </c>
    </row>
    <row r="212" spans="10:50" ht="17.25">
      <c r="J212" s="1214"/>
      <c r="AL212" s="1035" t="s">
        <v>135</v>
      </c>
      <c r="AM212" s="1036" t="s">
        <v>135</v>
      </c>
      <c r="AN212" s="1037">
        <v>0</v>
      </c>
      <c r="AO212" s="1041">
        <v>0</v>
      </c>
      <c r="AP212" s="971">
        <v>0</v>
      </c>
      <c r="AQ212" s="1039">
        <v>0</v>
      </c>
      <c r="AR212" s="973">
        <v>0</v>
      </c>
      <c r="AS212" s="974">
        <v>0</v>
      </c>
      <c r="AT212" s="975" t="s">
        <v>135</v>
      </c>
      <c r="AU212" s="976">
        <v>0</v>
      </c>
      <c r="AV212" s="977">
        <v>0</v>
      </c>
      <c r="AW212" s="1040">
        <v>0</v>
      </c>
      <c r="AX212" s="987">
        <v>0</v>
      </c>
    </row>
    <row r="213" spans="10:50" ht="17.25">
      <c r="J213" s="1214"/>
      <c r="AL213" s="1035" t="s">
        <v>135</v>
      </c>
      <c r="AM213" s="1036" t="s">
        <v>135</v>
      </c>
      <c r="AN213" s="1037">
        <v>0</v>
      </c>
      <c r="AO213" s="1041">
        <v>0</v>
      </c>
      <c r="AP213" s="971">
        <v>0</v>
      </c>
      <c r="AQ213" s="1039">
        <v>0</v>
      </c>
      <c r="AR213" s="973">
        <v>0</v>
      </c>
      <c r="AS213" s="974">
        <v>0</v>
      </c>
      <c r="AT213" s="975" t="s">
        <v>135</v>
      </c>
      <c r="AU213" s="976">
        <v>0</v>
      </c>
      <c r="AV213" s="977">
        <v>0</v>
      </c>
      <c r="AW213" s="1040">
        <v>0</v>
      </c>
      <c r="AX213" s="987">
        <v>0</v>
      </c>
    </row>
    <row r="214" spans="10:50" ht="17.25">
      <c r="J214" s="1214"/>
      <c r="AL214" s="1035" t="s">
        <v>135</v>
      </c>
      <c r="AM214" s="1036" t="s">
        <v>135</v>
      </c>
      <c r="AN214" s="1037">
        <v>0</v>
      </c>
      <c r="AO214" s="1041">
        <v>0</v>
      </c>
      <c r="AP214" s="971">
        <v>0</v>
      </c>
      <c r="AQ214" s="1039">
        <v>0</v>
      </c>
      <c r="AR214" s="973">
        <v>0</v>
      </c>
      <c r="AS214" s="974">
        <v>0</v>
      </c>
      <c r="AT214" s="975" t="s">
        <v>135</v>
      </c>
      <c r="AU214" s="976">
        <v>0</v>
      </c>
      <c r="AV214" s="977">
        <v>0</v>
      </c>
      <c r="AW214" s="1040">
        <v>0</v>
      </c>
      <c r="AX214" s="987">
        <v>0</v>
      </c>
    </row>
    <row r="215" spans="10:50" ht="17.25">
      <c r="J215" s="1214"/>
      <c r="AL215" s="1035" t="s">
        <v>135</v>
      </c>
      <c r="AM215" s="1036" t="s">
        <v>135</v>
      </c>
      <c r="AN215" s="1037">
        <v>0</v>
      </c>
      <c r="AO215" s="1041">
        <v>0</v>
      </c>
      <c r="AP215" s="971">
        <v>0</v>
      </c>
      <c r="AQ215" s="1039">
        <v>0</v>
      </c>
      <c r="AR215" s="973">
        <v>0</v>
      </c>
      <c r="AS215" s="974">
        <v>0</v>
      </c>
      <c r="AT215" s="975" t="s">
        <v>135</v>
      </c>
      <c r="AU215" s="976">
        <v>0</v>
      </c>
      <c r="AV215" s="977">
        <v>0</v>
      </c>
      <c r="AW215" s="1040">
        <v>0</v>
      </c>
      <c r="AX215" s="987">
        <v>0</v>
      </c>
    </row>
    <row r="216" spans="10:50" ht="17.25">
      <c r="J216" s="1214"/>
      <c r="AL216" s="1035" t="s">
        <v>135</v>
      </c>
      <c r="AM216" s="1036" t="s">
        <v>135</v>
      </c>
      <c r="AN216" s="1037">
        <v>0</v>
      </c>
      <c r="AO216" s="1041">
        <v>0</v>
      </c>
      <c r="AP216" s="971">
        <v>0</v>
      </c>
      <c r="AQ216" s="1039">
        <v>0</v>
      </c>
      <c r="AR216" s="973">
        <v>0</v>
      </c>
      <c r="AS216" s="974">
        <v>0</v>
      </c>
      <c r="AT216" s="975" t="s">
        <v>135</v>
      </c>
      <c r="AU216" s="976">
        <v>0</v>
      </c>
      <c r="AV216" s="977">
        <v>0</v>
      </c>
      <c r="AW216" s="1040">
        <v>0</v>
      </c>
      <c r="AX216" s="987">
        <v>0</v>
      </c>
    </row>
    <row r="217" spans="10:50" ht="17.25">
      <c r="J217" s="1214"/>
      <c r="AL217" s="1035" t="s">
        <v>135</v>
      </c>
      <c r="AM217" s="1036" t="s">
        <v>135</v>
      </c>
      <c r="AN217" s="1037">
        <v>0</v>
      </c>
      <c r="AO217" s="1041">
        <v>0</v>
      </c>
      <c r="AP217" s="971">
        <v>0</v>
      </c>
      <c r="AQ217" s="1039">
        <v>0</v>
      </c>
      <c r="AR217" s="973">
        <v>0</v>
      </c>
      <c r="AS217" s="974">
        <v>0</v>
      </c>
      <c r="AT217" s="975" t="s">
        <v>135</v>
      </c>
      <c r="AU217" s="976">
        <v>0</v>
      </c>
      <c r="AV217" s="977">
        <v>0</v>
      </c>
      <c r="AW217" s="1040">
        <v>0</v>
      </c>
      <c r="AX217" s="987">
        <v>0</v>
      </c>
    </row>
    <row r="218" spans="10:50" ht="17.25">
      <c r="J218" s="1214"/>
      <c r="AL218" s="1035" t="s">
        <v>135</v>
      </c>
      <c r="AM218" s="1036" t="s">
        <v>135</v>
      </c>
      <c r="AN218" s="1037">
        <v>0</v>
      </c>
      <c r="AO218" s="1041">
        <v>0</v>
      </c>
      <c r="AP218" s="971">
        <v>0</v>
      </c>
      <c r="AQ218" s="1039">
        <v>0</v>
      </c>
      <c r="AR218" s="973">
        <v>0</v>
      </c>
      <c r="AS218" s="974">
        <v>0</v>
      </c>
      <c r="AT218" s="975" t="s">
        <v>135</v>
      </c>
      <c r="AU218" s="976">
        <v>0</v>
      </c>
      <c r="AV218" s="977">
        <v>0</v>
      </c>
      <c r="AW218" s="1040">
        <v>0</v>
      </c>
      <c r="AX218" s="987">
        <v>0</v>
      </c>
    </row>
    <row r="219" spans="10:50" ht="17.25">
      <c r="J219" s="1214"/>
      <c r="AL219" s="1035" t="s">
        <v>135</v>
      </c>
      <c r="AM219" s="1036" t="s">
        <v>135</v>
      </c>
      <c r="AN219" s="1037">
        <v>0</v>
      </c>
      <c r="AO219" s="1041">
        <v>0</v>
      </c>
      <c r="AP219" s="971">
        <v>0</v>
      </c>
      <c r="AQ219" s="1039">
        <v>0</v>
      </c>
      <c r="AR219" s="973">
        <v>0</v>
      </c>
      <c r="AS219" s="974">
        <v>0</v>
      </c>
      <c r="AT219" s="975" t="s">
        <v>135</v>
      </c>
      <c r="AU219" s="976">
        <v>0</v>
      </c>
      <c r="AV219" s="977">
        <v>0</v>
      </c>
      <c r="AW219" s="1040">
        <v>0</v>
      </c>
      <c r="AX219" s="987">
        <v>0</v>
      </c>
    </row>
    <row r="220" spans="10:50" ht="17.25">
      <c r="J220" s="1214"/>
      <c r="AL220" s="1035" t="s">
        <v>135</v>
      </c>
      <c r="AM220" s="1036" t="s">
        <v>135</v>
      </c>
      <c r="AN220" s="1037">
        <v>0</v>
      </c>
      <c r="AO220" s="1041">
        <v>0</v>
      </c>
      <c r="AP220" s="971">
        <v>0</v>
      </c>
      <c r="AQ220" s="1039">
        <v>0</v>
      </c>
      <c r="AR220" s="973">
        <v>0</v>
      </c>
      <c r="AS220" s="974">
        <v>0</v>
      </c>
      <c r="AT220" s="975" t="s">
        <v>135</v>
      </c>
      <c r="AU220" s="976">
        <v>0</v>
      </c>
      <c r="AV220" s="977">
        <v>0</v>
      </c>
      <c r="AW220" s="1040">
        <v>0</v>
      </c>
      <c r="AX220" s="987">
        <v>0</v>
      </c>
    </row>
    <row r="221" spans="10:50" ht="17.25">
      <c r="J221" s="1214"/>
      <c r="AL221" s="1035" t="s">
        <v>135</v>
      </c>
      <c r="AM221" s="1036" t="s">
        <v>135</v>
      </c>
      <c r="AN221" s="1037">
        <v>0</v>
      </c>
      <c r="AO221" s="1041">
        <v>0</v>
      </c>
      <c r="AP221" s="971">
        <v>0</v>
      </c>
      <c r="AQ221" s="1039">
        <v>0</v>
      </c>
      <c r="AR221" s="973">
        <v>0</v>
      </c>
      <c r="AS221" s="974">
        <v>0</v>
      </c>
      <c r="AT221" s="975" t="s">
        <v>135</v>
      </c>
      <c r="AU221" s="976">
        <v>0</v>
      </c>
      <c r="AV221" s="977">
        <v>0</v>
      </c>
      <c r="AW221" s="1040">
        <v>0</v>
      </c>
      <c r="AX221" s="987">
        <v>0</v>
      </c>
    </row>
    <row r="222" spans="10:50" ht="17.25">
      <c r="J222" s="1214"/>
      <c r="AL222" s="1035" t="s">
        <v>135</v>
      </c>
      <c r="AM222" s="1036" t="s">
        <v>135</v>
      </c>
      <c r="AN222" s="1037">
        <v>0</v>
      </c>
      <c r="AO222" s="1041">
        <v>0</v>
      </c>
      <c r="AP222" s="971">
        <v>0</v>
      </c>
      <c r="AQ222" s="1039">
        <v>0</v>
      </c>
      <c r="AR222" s="973">
        <v>0</v>
      </c>
      <c r="AS222" s="974">
        <v>0</v>
      </c>
      <c r="AT222" s="975" t="s">
        <v>135</v>
      </c>
      <c r="AU222" s="976">
        <v>0</v>
      </c>
      <c r="AV222" s="977">
        <v>0</v>
      </c>
      <c r="AW222" s="1040">
        <v>0</v>
      </c>
      <c r="AX222" s="987">
        <v>0</v>
      </c>
    </row>
    <row r="223" spans="10:50" ht="17.25">
      <c r="J223" s="1214"/>
      <c r="AL223" s="1035" t="s">
        <v>135</v>
      </c>
      <c r="AM223" s="1036" t="s">
        <v>135</v>
      </c>
      <c r="AN223" s="1037">
        <v>0</v>
      </c>
      <c r="AO223" s="1041">
        <v>0</v>
      </c>
      <c r="AP223" s="971">
        <v>0</v>
      </c>
      <c r="AQ223" s="1039">
        <v>0</v>
      </c>
      <c r="AR223" s="973">
        <v>0</v>
      </c>
      <c r="AS223" s="974">
        <v>0</v>
      </c>
      <c r="AT223" s="975" t="s">
        <v>135</v>
      </c>
      <c r="AU223" s="976">
        <v>0</v>
      </c>
      <c r="AV223" s="977">
        <v>0</v>
      </c>
      <c r="AW223" s="1040">
        <v>0</v>
      </c>
      <c r="AX223" s="987">
        <v>0</v>
      </c>
    </row>
    <row r="224" spans="10:50" ht="17.25">
      <c r="J224" s="1214"/>
      <c r="AL224" s="1035" t="s">
        <v>135</v>
      </c>
      <c r="AM224" s="1036" t="s">
        <v>135</v>
      </c>
      <c r="AN224" s="1037">
        <v>0</v>
      </c>
      <c r="AO224" s="1041">
        <v>0</v>
      </c>
      <c r="AP224" s="971">
        <v>0</v>
      </c>
      <c r="AQ224" s="1039">
        <v>0</v>
      </c>
      <c r="AR224" s="973">
        <v>0</v>
      </c>
      <c r="AS224" s="974">
        <v>0</v>
      </c>
      <c r="AT224" s="975" t="s">
        <v>135</v>
      </c>
      <c r="AU224" s="976">
        <v>0</v>
      </c>
      <c r="AV224" s="977">
        <v>0</v>
      </c>
      <c r="AW224" s="1040">
        <v>0</v>
      </c>
      <c r="AX224" s="987">
        <v>0</v>
      </c>
    </row>
    <row r="225" spans="10:50" ht="17.25">
      <c r="J225" s="1214"/>
      <c r="AL225" s="1035" t="s">
        <v>135</v>
      </c>
      <c r="AM225" s="1036" t="s">
        <v>135</v>
      </c>
      <c r="AN225" s="1037">
        <v>0</v>
      </c>
      <c r="AO225" s="1041">
        <v>0</v>
      </c>
      <c r="AP225" s="971">
        <v>0</v>
      </c>
      <c r="AQ225" s="1039">
        <v>0</v>
      </c>
      <c r="AR225" s="973">
        <v>0</v>
      </c>
      <c r="AS225" s="974">
        <v>0</v>
      </c>
      <c r="AT225" s="975" t="s">
        <v>135</v>
      </c>
      <c r="AU225" s="976">
        <v>0</v>
      </c>
      <c r="AV225" s="977">
        <v>0</v>
      </c>
      <c r="AW225" s="1040">
        <v>0</v>
      </c>
      <c r="AX225" s="987">
        <v>0</v>
      </c>
    </row>
    <row r="226" spans="10:50" ht="17.25">
      <c r="J226" s="1214"/>
      <c r="AL226" s="1035" t="s">
        <v>135</v>
      </c>
      <c r="AM226" s="1036" t="s">
        <v>135</v>
      </c>
      <c r="AN226" s="1037">
        <v>0</v>
      </c>
      <c r="AO226" s="1041">
        <v>0</v>
      </c>
      <c r="AP226" s="971">
        <v>0</v>
      </c>
      <c r="AQ226" s="1039">
        <v>0</v>
      </c>
      <c r="AR226" s="973">
        <v>0</v>
      </c>
      <c r="AS226" s="974">
        <v>0</v>
      </c>
      <c r="AT226" s="975" t="s">
        <v>135</v>
      </c>
      <c r="AU226" s="976">
        <v>0</v>
      </c>
      <c r="AV226" s="977">
        <v>0</v>
      </c>
      <c r="AW226" s="1040">
        <v>0</v>
      </c>
      <c r="AX226" s="987">
        <v>0</v>
      </c>
    </row>
    <row r="227" spans="10:50" ht="17.25">
      <c r="J227" s="1214"/>
      <c r="AL227" s="1035" t="s">
        <v>135</v>
      </c>
      <c r="AM227" s="1036" t="s">
        <v>135</v>
      </c>
      <c r="AN227" s="1037">
        <v>0</v>
      </c>
      <c r="AO227" s="1041">
        <v>0</v>
      </c>
      <c r="AP227" s="971">
        <v>0</v>
      </c>
      <c r="AQ227" s="1039">
        <v>0</v>
      </c>
      <c r="AR227" s="973">
        <v>0</v>
      </c>
      <c r="AS227" s="974">
        <v>0</v>
      </c>
      <c r="AT227" s="975" t="s">
        <v>135</v>
      </c>
      <c r="AU227" s="976">
        <v>0</v>
      </c>
      <c r="AV227" s="977">
        <v>0</v>
      </c>
      <c r="AW227" s="1040">
        <v>0</v>
      </c>
      <c r="AX227" s="987">
        <v>0</v>
      </c>
    </row>
    <row r="228" spans="10:50" ht="17.25">
      <c r="J228" s="1214"/>
      <c r="AL228" s="1035" t="s">
        <v>135</v>
      </c>
      <c r="AM228" s="1036" t="s">
        <v>135</v>
      </c>
      <c r="AN228" s="1037">
        <v>0</v>
      </c>
      <c r="AO228" s="1041">
        <v>0</v>
      </c>
      <c r="AP228" s="971">
        <v>0</v>
      </c>
      <c r="AQ228" s="1039">
        <v>0</v>
      </c>
      <c r="AR228" s="973">
        <v>0</v>
      </c>
      <c r="AS228" s="974">
        <v>0</v>
      </c>
      <c r="AT228" s="975" t="s">
        <v>135</v>
      </c>
      <c r="AU228" s="976">
        <v>0</v>
      </c>
      <c r="AV228" s="977">
        <v>0</v>
      </c>
      <c r="AW228" s="1040">
        <v>0</v>
      </c>
      <c r="AX228" s="987">
        <v>0</v>
      </c>
    </row>
    <row r="229" spans="10:50" ht="17.25">
      <c r="J229" s="1214"/>
      <c r="AL229" s="1035" t="s">
        <v>135</v>
      </c>
      <c r="AM229" s="1036" t="s">
        <v>135</v>
      </c>
      <c r="AN229" s="1037">
        <v>0</v>
      </c>
      <c r="AO229" s="1041">
        <v>0</v>
      </c>
      <c r="AP229" s="971">
        <v>0</v>
      </c>
      <c r="AQ229" s="1039">
        <v>0</v>
      </c>
      <c r="AR229" s="973">
        <v>0</v>
      </c>
      <c r="AS229" s="974">
        <v>0</v>
      </c>
      <c r="AT229" s="975" t="s">
        <v>135</v>
      </c>
      <c r="AU229" s="976">
        <v>0</v>
      </c>
      <c r="AV229" s="977">
        <v>0</v>
      </c>
      <c r="AW229" s="1040">
        <v>0</v>
      </c>
      <c r="AX229" s="987">
        <v>0</v>
      </c>
    </row>
    <row r="230" spans="10:50" ht="17.25">
      <c r="J230" s="1214"/>
      <c r="AL230" s="1035" t="s">
        <v>135</v>
      </c>
      <c r="AM230" s="1036" t="s">
        <v>135</v>
      </c>
      <c r="AN230" s="1037">
        <v>0</v>
      </c>
      <c r="AO230" s="1041">
        <v>0</v>
      </c>
      <c r="AP230" s="971">
        <v>0</v>
      </c>
      <c r="AQ230" s="1039">
        <v>0</v>
      </c>
      <c r="AR230" s="973">
        <v>0</v>
      </c>
      <c r="AS230" s="974">
        <v>0</v>
      </c>
      <c r="AT230" s="975" t="s">
        <v>135</v>
      </c>
      <c r="AU230" s="976">
        <v>0</v>
      </c>
      <c r="AV230" s="977">
        <v>0</v>
      </c>
      <c r="AW230" s="1040">
        <v>0</v>
      </c>
      <c r="AX230" s="987">
        <v>0</v>
      </c>
    </row>
    <row r="231" spans="10:50" ht="17.25">
      <c r="J231" s="1214"/>
      <c r="AL231" s="1035" t="s">
        <v>135</v>
      </c>
      <c r="AM231" s="1036" t="s">
        <v>135</v>
      </c>
      <c r="AN231" s="1037">
        <v>0</v>
      </c>
      <c r="AO231" s="1041">
        <v>0</v>
      </c>
      <c r="AP231" s="971">
        <v>0</v>
      </c>
      <c r="AQ231" s="1039">
        <v>0</v>
      </c>
      <c r="AR231" s="973">
        <v>0</v>
      </c>
      <c r="AS231" s="974">
        <v>0</v>
      </c>
      <c r="AT231" s="975" t="s">
        <v>135</v>
      </c>
      <c r="AU231" s="976">
        <v>0</v>
      </c>
      <c r="AV231" s="977">
        <v>0</v>
      </c>
      <c r="AW231" s="1040">
        <v>0</v>
      </c>
      <c r="AX231" s="987">
        <v>0</v>
      </c>
    </row>
    <row r="232" spans="10:50" ht="17.25">
      <c r="J232" s="1214"/>
      <c r="AL232" s="1035" t="s">
        <v>135</v>
      </c>
      <c r="AM232" s="1036" t="s">
        <v>135</v>
      </c>
      <c r="AN232" s="1037">
        <v>0</v>
      </c>
      <c r="AO232" s="1041">
        <v>0</v>
      </c>
      <c r="AP232" s="971">
        <v>0</v>
      </c>
      <c r="AQ232" s="1039">
        <v>0</v>
      </c>
      <c r="AR232" s="973">
        <v>0</v>
      </c>
      <c r="AS232" s="974">
        <v>0</v>
      </c>
      <c r="AT232" s="975" t="s">
        <v>135</v>
      </c>
      <c r="AU232" s="976">
        <v>0</v>
      </c>
      <c r="AV232" s="977">
        <v>0</v>
      </c>
      <c r="AW232" s="1040">
        <v>0</v>
      </c>
      <c r="AX232" s="987">
        <v>0</v>
      </c>
    </row>
    <row r="233" spans="10:50" ht="17.25">
      <c r="J233" s="1214"/>
      <c r="AL233" s="1035" t="s">
        <v>135</v>
      </c>
      <c r="AM233" s="1036" t="s">
        <v>135</v>
      </c>
      <c r="AN233" s="1037">
        <v>0</v>
      </c>
      <c r="AO233" s="1041">
        <v>0</v>
      </c>
      <c r="AP233" s="971">
        <v>0</v>
      </c>
      <c r="AQ233" s="1039">
        <v>0</v>
      </c>
      <c r="AR233" s="973">
        <v>0</v>
      </c>
      <c r="AS233" s="974">
        <v>0</v>
      </c>
      <c r="AT233" s="975" t="s">
        <v>135</v>
      </c>
      <c r="AU233" s="976">
        <v>0</v>
      </c>
      <c r="AV233" s="977">
        <v>0</v>
      </c>
      <c r="AW233" s="1040">
        <v>0</v>
      </c>
      <c r="AX233" s="987">
        <v>0</v>
      </c>
    </row>
    <row r="234" spans="10:50" ht="17.25">
      <c r="J234" s="1214"/>
      <c r="AL234" s="1035" t="s">
        <v>135</v>
      </c>
      <c r="AM234" s="1036" t="s">
        <v>135</v>
      </c>
      <c r="AN234" s="1037">
        <v>0</v>
      </c>
      <c r="AO234" s="1041">
        <v>0</v>
      </c>
      <c r="AP234" s="971">
        <v>0</v>
      </c>
      <c r="AQ234" s="1039">
        <v>0</v>
      </c>
      <c r="AR234" s="973">
        <v>0</v>
      </c>
      <c r="AS234" s="974">
        <v>0</v>
      </c>
      <c r="AT234" s="975" t="s">
        <v>135</v>
      </c>
      <c r="AU234" s="976">
        <v>0</v>
      </c>
      <c r="AV234" s="977">
        <v>0</v>
      </c>
      <c r="AW234" s="1040">
        <v>0</v>
      </c>
      <c r="AX234" s="987">
        <v>0</v>
      </c>
    </row>
    <row r="235" spans="10:50" ht="17.25">
      <c r="J235" s="1214"/>
      <c r="AL235" s="1035" t="s">
        <v>135</v>
      </c>
      <c r="AM235" s="1036" t="s">
        <v>135</v>
      </c>
      <c r="AN235" s="1037">
        <v>0</v>
      </c>
      <c r="AO235" s="1041">
        <v>0</v>
      </c>
      <c r="AP235" s="971">
        <v>0</v>
      </c>
      <c r="AQ235" s="1039">
        <v>0</v>
      </c>
      <c r="AR235" s="973">
        <v>0</v>
      </c>
      <c r="AS235" s="974">
        <v>0</v>
      </c>
      <c r="AT235" s="975" t="s">
        <v>135</v>
      </c>
      <c r="AU235" s="976">
        <v>0</v>
      </c>
      <c r="AV235" s="977">
        <v>0</v>
      </c>
      <c r="AW235" s="1040">
        <v>0</v>
      </c>
      <c r="AX235" s="987">
        <v>0</v>
      </c>
    </row>
    <row r="236" spans="10:50" ht="17.25">
      <c r="J236" s="1214"/>
      <c r="AL236" s="1035" t="s">
        <v>135</v>
      </c>
      <c r="AM236" s="1036" t="s">
        <v>135</v>
      </c>
      <c r="AN236" s="1037">
        <v>0</v>
      </c>
      <c r="AO236" s="1041">
        <v>0</v>
      </c>
      <c r="AP236" s="971">
        <v>0</v>
      </c>
      <c r="AQ236" s="1039">
        <v>0</v>
      </c>
      <c r="AR236" s="973">
        <v>0</v>
      </c>
      <c r="AS236" s="974">
        <v>0</v>
      </c>
      <c r="AT236" s="975" t="s">
        <v>135</v>
      </c>
      <c r="AU236" s="976">
        <v>0</v>
      </c>
      <c r="AV236" s="977">
        <v>0</v>
      </c>
      <c r="AW236" s="1040">
        <v>0</v>
      </c>
      <c r="AX236" s="987">
        <v>0</v>
      </c>
    </row>
    <row r="237" spans="10:50" ht="17.25">
      <c r="J237" s="1214"/>
      <c r="AL237" s="1035" t="s">
        <v>135</v>
      </c>
      <c r="AM237" s="1036" t="s">
        <v>135</v>
      </c>
      <c r="AN237" s="1037">
        <v>0</v>
      </c>
      <c r="AO237" s="1041">
        <v>0</v>
      </c>
      <c r="AP237" s="971">
        <v>0</v>
      </c>
      <c r="AQ237" s="1039">
        <v>0</v>
      </c>
      <c r="AR237" s="973">
        <v>0</v>
      </c>
      <c r="AS237" s="974">
        <v>0</v>
      </c>
      <c r="AT237" s="975" t="s">
        <v>135</v>
      </c>
      <c r="AU237" s="976">
        <v>0</v>
      </c>
      <c r="AV237" s="977">
        <v>0</v>
      </c>
      <c r="AW237" s="1040">
        <v>0</v>
      </c>
      <c r="AX237" s="987">
        <v>0</v>
      </c>
    </row>
    <row r="238" spans="10:50" ht="17.25">
      <c r="J238" s="1214"/>
      <c r="AL238" s="1035" t="s">
        <v>135</v>
      </c>
      <c r="AM238" s="1036" t="s">
        <v>135</v>
      </c>
      <c r="AN238" s="1037">
        <v>0</v>
      </c>
      <c r="AO238" s="1041">
        <v>0</v>
      </c>
      <c r="AP238" s="971">
        <v>0</v>
      </c>
      <c r="AQ238" s="1039">
        <v>0</v>
      </c>
      <c r="AR238" s="973">
        <v>0</v>
      </c>
      <c r="AS238" s="974">
        <v>0</v>
      </c>
      <c r="AT238" s="975" t="s">
        <v>135</v>
      </c>
      <c r="AU238" s="976">
        <v>0</v>
      </c>
      <c r="AV238" s="977">
        <v>0</v>
      </c>
      <c r="AW238" s="1040">
        <v>0</v>
      </c>
      <c r="AX238" s="987">
        <v>0</v>
      </c>
    </row>
    <row r="239" spans="10:50" ht="17.25">
      <c r="J239" s="1214"/>
      <c r="AL239" s="1035" t="s">
        <v>135</v>
      </c>
      <c r="AM239" s="1036" t="s">
        <v>135</v>
      </c>
      <c r="AN239" s="1037">
        <v>0</v>
      </c>
      <c r="AO239" s="1041">
        <v>0</v>
      </c>
      <c r="AP239" s="971">
        <v>0</v>
      </c>
      <c r="AQ239" s="1039">
        <v>0</v>
      </c>
      <c r="AR239" s="973">
        <v>0</v>
      </c>
      <c r="AS239" s="974">
        <v>0</v>
      </c>
      <c r="AT239" s="975" t="s">
        <v>135</v>
      </c>
      <c r="AU239" s="976">
        <v>0</v>
      </c>
      <c r="AV239" s="977">
        <v>0</v>
      </c>
      <c r="AW239" s="1040">
        <v>0</v>
      </c>
      <c r="AX239" s="987">
        <v>0</v>
      </c>
    </row>
    <row r="240" spans="10:50" ht="17.25">
      <c r="J240" s="1214"/>
      <c r="AL240" s="1035" t="s">
        <v>135</v>
      </c>
      <c r="AM240" s="1036" t="s">
        <v>135</v>
      </c>
      <c r="AN240" s="1037">
        <v>0</v>
      </c>
      <c r="AO240" s="1041">
        <v>0</v>
      </c>
      <c r="AP240" s="971">
        <v>0</v>
      </c>
      <c r="AQ240" s="1039">
        <v>0</v>
      </c>
      <c r="AR240" s="973">
        <v>0</v>
      </c>
      <c r="AS240" s="974">
        <v>0</v>
      </c>
      <c r="AT240" s="975" t="s">
        <v>135</v>
      </c>
      <c r="AU240" s="976">
        <v>0</v>
      </c>
      <c r="AV240" s="977">
        <v>0</v>
      </c>
      <c r="AW240" s="1040">
        <v>0</v>
      </c>
      <c r="AX240" s="987">
        <v>0</v>
      </c>
    </row>
    <row r="241" spans="10:50" ht="17.25">
      <c r="J241" s="1214"/>
      <c r="AL241" s="1035" t="s">
        <v>135</v>
      </c>
      <c r="AM241" s="1036" t="s">
        <v>135</v>
      </c>
      <c r="AN241" s="1037">
        <v>0</v>
      </c>
      <c r="AO241" s="1041">
        <v>0</v>
      </c>
      <c r="AP241" s="971">
        <v>0</v>
      </c>
      <c r="AQ241" s="1039">
        <v>0</v>
      </c>
      <c r="AR241" s="973">
        <v>0</v>
      </c>
      <c r="AS241" s="974">
        <v>0</v>
      </c>
      <c r="AT241" s="975" t="s">
        <v>135</v>
      </c>
      <c r="AU241" s="976">
        <v>0</v>
      </c>
      <c r="AV241" s="977">
        <v>0</v>
      </c>
      <c r="AW241" s="1040">
        <v>0</v>
      </c>
      <c r="AX241" s="987">
        <v>0</v>
      </c>
    </row>
    <row r="242" spans="10:50" ht="17.25">
      <c r="J242" s="1214"/>
      <c r="AL242" s="1035" t="s">
        <v>135</v>
      </c>
      <c r="AM242" s="1036" t="s">
        <v>135</v>
      </c>
      <c r="AN242" s="1037">
        <v>0</v>
      </c>
      <c r="AO242" s="1041">
        <v>0</v>
      </c>
      <c r="AP242" s="971">
        <v>0</v>
      </c>
      <c r="AQ242" s="1039">
        <v>0</v>
      </c>
      <c r="AR242" s="973">
        <v>0</v>
      </c>
      <c r="AS242" s="974">
        <v>0</v>
      </c>
      <c r="AT242" s="975" t="s">
        <v>135</v>
      </c>
      <c r="AU242" s="976">
        <v>0</v>
      </c>
      <c r="AV242" s="977">
        <v>0</v>
      </c>
      <c r="AW242" s="1040">
        <v>0</v>
      </c>
      <c r="AX242" s="987">
        <v>0</v>
      </c>
    </row>
    <row r="243" spans="10:50" ht="17.25">
      <c r="J243" s="1214"/>
      <c r="AL243" s="1035" t="s">
        <v>135</v>
      </c>
      <c r="AM243" s="1036" t="s">
        <v>135</v>
      </c>
      <c r="AN243" s="1037">
        <v>0</v>
      </c>
      <c r="AO243" s="1041">
        <v>0</v>
      </c>
      <c r="AP243" s="971">
        <v>0</v>
      </c>
      <c r="AQ243" s="1039">
        <v>0</v>
      </c>
      <c r="AR243" s="973">
        <v>0</v>
      </c>
      <c r="AS243" s="974">
        <v>0</v>
      </c>
      <c r="AT243" s="975" t="s">
        <v>135</v>
      </c>
      <c r="AU243" s="976">
        <v>0</v>
      </c>
      <c r="AV243" s="977">
        <v>0</v>
      </c>
      <c r="AW243" s="1040">
        <v>0</v>
      </c>
      <c r="AX243" s="987">
        <v>0</v>
      </c>
    </row>
    <row r="244" spans="10:50" ht="17.25">
      <c r="J244" s="1214"/>
      <c r="AL244" s="1035" t="s">
        <v>135</v>
      </c>
      <c r="AM244" s="1036" t="s">
        <v>135</v>
      </c>
      <c r="AN244" s="1037">
        <v>0</v>
      </c>
      <c r="AO244" s="1041">
        <v>0</v>
      </c>
      <c r="AP244" s="971">
        <v>0</v>
      </c>
      <c r="AQ244" s="1039">
        <v>0</v>
      </c>
      <c r="AR244" s="973">
        <v>0</v>
      </c>
      <c r="AS244" s="974">
        <v>0</v>
      </c>
      <c r="AT244" s="975" t="s">
        <v>135</v>
      </c>
      <c r="AU244" s="976">
        <v>0</v>
      </c>
      <c r="AV244" s="977">
        <v>0</v>
      </c>
      <c r="AW244" s="1040">
        <v>0</v>
      </c>
      <c r="AX244" s="987">
        <v>0</v>
      </c>
    </row>
    <row r="245" spans="10:50" ht="17.25">
      <c r="J245" s="1214"/>
      <c r="AL245" s="1035" t="s">
        <v>135</v>
      </c>
      <c r="AM245" s="1036" t="s">
        <v>135</v>
      </c>
      <c r="AN245" s="1037">
        <v>0</v>
      </c>
      <c r="AO245" s="1041">
        <v>0</v>
      </c>
      <c r="AP245" s="971">
        <v>0</v>
      </c>
      <c r="AQ245" s="1039">
        <v>0</v>
      </c>
      <c r="AR245" s="973">
        <v>0</v>
      </c>
      <c r="AS245" s="974">
        <v>0</v>
      </c>
      <c r="AT245" s="975" t="s">
        <v>135</v>
      </c>
      <c r="AU245" s="976">
        <v>0</v>
      </c>
      <c r="AV245" s="977">
        <v>0</v>
      </c>
      <c r="AW245" s="1040">
        <v>0</v>
      </c>
      <c r="AX245" s="987">
        <v>0</v>
      </c>
    </row>
    <row r="246" spans="10:50" ht="17.25">
      <c r="J246" s="1214"/>
      <c r="AL246" s="1035" t="s">
        <v>135</v>
      </c>
      <c r="AM246" s="1036" t="s">
        <v>135</v>
      </c>
      <c r="AN246" s="1037">
        <v>0</v>
      </c>
      <c r="AO246" s="1041">
        <v>0</v>
      </c>
      <c r="AP246" s="971">
        <v>0</v>
      </c>
      <c r="AQ246" s="1039">
        <v>0</v>
      </c>
      <c r="AR246" s="973">
        <v>0</v>
      </c>
      <c r="AS246" s="974">
        <v>0</v>
      </c>
      <c r="AT246" s="975" t="s">
        <v>135</v>
      </c>
      <c r="AU246" s="976">
        <v>0</v>
      </c>
      <c r="AV246" s="977">
        <v>0</v>
      </c>
      <c r="AW246" s="1040">
        <v>0</v>
      </c>
      <c r="AX246" s="987">
        <v>0</v>
      </c>
    </row>
    <row r="247" spans="10:50" ht="17.25">
      <c r="J247" s="1214"/>
      <c r="AL247" s="1035" t="s">
        <v>135</v>
      </c>
      <c r="AM247" s="1036" t="s">
        <v>135</v>
      </c>
      <c r="AN247" s="1037">
        <v>0</v>
      </c>
      <c r="AO247" s="1041">
        <v>0</v>
      </c>
      <c r="AP247" s="971">
        <v>0</v>
      </c>
      <c r="AQ247" s="1039">
        <v>0</v>
      </c>
      <c r="AR247" s="973">
        <v>0</v>
      </c>
      <c r="AS247" s="974">
        <v>0</v>
      </c>
      <c r="AT247" s="975" t="s">
        <v>135</v>
      </c>
      <c r="AU247" s="976">
        <v>0</v>
      </c>
      <c r="AV247" s="977">
        <v>0</v>
      </c>
      <c r="AW247" s="1040">
        <v>0</v>
      </c>
      <c r="AX247" s="987">
        <v>0</v>
      </c>
    </row>
    <row r="248" spans="10:50">
      <c r="AL248" s="1035" t="s">
        <v>135</v>
      </c>
      <c r="AM248" s="1036" t="s">
        <v>135</v>
      </c>
      <c r="AN248" s="1037">
        <v>0</v>
      </c>
      <c r="AO248" s="1041">
        <v>0</v>
      </c>
      <c r="AP248" s="971">
        <v>0</v>
      </c>
      <c r="AQ248" s="1039">
        <v>0</v>
      </c>
      <c r="AR248" s="973">
        <v>0</v>
      </c>
      <c r="AS248" s="974">
        <v>0</v>
      </c>
      <c r="AT248" s="975" t="s">
        <v>135</v>
      </c>
      <c r="AU248" s="976">
        <v>0</v>
      </c>
      <c r="AV248" s="977">
        <v>0</v>
      </c>
      <c r="AW248" s="1040">
        <v>0</v>
      </c>
      <c r="AX248" s="987">
        <v>0</v>
      </c>
    </row>
    <row r="249" spans="10:50">
      <c r="AL249" s="1035" t="s">
        <v>135</v>
      </c>
      <c r="AM249" s="1036" t="s">
        <v>135</v>
      </c>
      <c r="AN249" s="1037">
        <v>0</v>
      </c>
      <c r="AO249" s="1041">
        <v>0</v>
      </c>
      <c r="AP249" s="971">
        <v>0</v>
      </c>
      <c r="AQ249" s="1039">
        <v>0</v>
      </c>
      <c r="AR249" s="973">
        <v>0</v>
      </c>
      <c r="AS249" s="974">
        <v>0</v>
      </c>
      <c r="AT249" s="975" t="s">
        <v>135</v>
      </c>
      <c r="AU249" s="976">
        <v>0</v>
      </c>
      <c r="AV249" s="977">
        <v>0</v>
      </c>
      <c r="AW249" s="1040">
        <v>0</v>
      </c>
      <c r="AX249" s="987">
        <v>0</v>
      </c>
    </row>
    <row r="250" spans="10:50">
      <c r="AL250" s="1035" t="s">
        <v>135</v>
      </c>
      <c r="AM250" s="1036" t="s">
        <v>135</v>
      </c>
      <c r="AN250" s="1037">
        <v>0</v>
      </c>
      <c r="AO250" s="1041">
        <v>0</v>
      </c>
      <c r="AP250" s="971">
        <v>0</v>
      </c>
      <c r="AQ250" s="1039">
        <v>0</v>
      </c>
      <c r="AR250" s="973">
        <v>0</v>
      </c>
      <c r="AS250" s="974">
        <v>0</v>
      </c>
      <c r="AT250" s="975" t="s">
        <v>135</v>
      </c>
      <c r="AU250" s="976">
        <v>0</v>
      </c>
      <c r="AV250" s="977">
        <v>0</v>
      </c>
      <c r="AW250" s="1040">
        <v>0</v>
      </c>
      <c r="AX250" s="987">
        <v>0</v>
      </c>
    </row>
    <row r="251" spans="10:50">
      <c r="AL251" s="1035" t="s">
        <v>135</v>
      </c>
      <c r="AM251" s="1036" t="s">
        <v>135</v>
      </c>
      <c r="AN251" s="1037">
        <v>0</v>
      </c>
      <c r="AO251" s="1041">
        <v>0</v>
      </c>
      <c r="AP251" s="971">
        <v>0</v>
      </c>
      <c r="AQ251" s="1039">
        <v>0</v>
      </c>
      <c r="AR251" s="973">
        <v>0</v>
      </c>
      <c r="AS251" s="974">
        <v>0</v>
      </c>
      <c r="AT251" s="975" t="s">
        <v>135</v>
      </c>
      <c r="AU251" s="976">
        <v>0</v>
      </c>
      <c r="AV251" s="977">
        <v>0</v>
      </c>
      <c r="AW251" s="1040">
        <v>0</v>
      </c>
      <c r="AX251" s="987">
        <v>0</v>
      </c>
    </row>
    <row r="252" spans="10:50">
      <c r="AL252" s="1035" t="s">
        <v>135</v>
      </c>
      <c r="AM252" s="1036" t="s">
        <v>135</v>
      </c>
      <c r="AN252" s="1037">
        <v>0</v>
      </c>
      <c r="AO252" s="1041">
        <v>0</v>
      </c>
      <c r="AP252" s="971">
        <v>0</v>
      </c>
      <c r="AQ252" s="1039">
        <v>0</v>
      </c>
      <c r="AR252" s="973">
        <v>0</v>
      </c>
      <c r="AS252" s="974">
        <v>0</v>
      </c>
      <c r="AT252" s="975" t="s">
        <v>135</v>
      </c>
      <c r="AU252" s="976">
        <v>0</v>
      </c>
      <c r="AV252" s="977">
        <v>0</v>
      </c>
      <c r="AW252" s="1040">
        <v>0</v>
      </c>
      <c r="AX252" s="987">
        <v>0</v>
      </c>
    </row>
    <row r="253" spans="10:50">
      <c r="AL253" s="1035" t="s">
        <v>135</v>
      </c>
      <c r="AM253" s="1036" t="s">
        <v>135</v>
      </c>
      <c r="AN253" s="1037">
        <v>0</v>
      </c>
      <c r="AO253" s="1041">
        <v>0</v>
      </c>
      <c r="AP253" s="971">
        <v>0</v>
      </c>
      <c r="AQ253" s="1039">
        <v>0</v>
      </c>
      <c r="AR253" s="973">
        <v>0</v>
      </c>
      <c r="AS253" s="974">
        <v>0</v>
      </c>
      <c r="AT253" s="975" t="s">
        <v>135</v>
      </c>
      <c r="AU253" s="976">
        <v>0</v>
      </c>
      <c r="AV253" s="977">
        <v>0</v>
      </c>
      <c r="AW253" s="1040">
        <v>0</v>
      </c>
      <c r="AX253" s="987">
        <v>0</v>
      </c>
    </row>
    <row r="254" spans="10:50">
      <c r="AL254" s="1035" t="s">
        <v>135</v>
      </c>
      <c r="AM254" s="1036" t="s">
        <v>135</v>
      </c>
      <c r="AN254" s="1037">
        <v>0</v>
      </c>
      <c r="AO254" s="1041">
        <v>0</v>
      </c>
      <c r="AP254" s="971">
        <v>0</v>
      </c>
      <c r="AQ254" s="1039">
        <v>0</v>
      </c>
      <c r="AR254" s="973">
        <v>0</v>
      </c>
      <c r="AS254" s="974">
        <v>0</v>
      </c>
      <c r="AT254" s="975" t="s">
        <v>135</v>
      </c>
      <c r="AU254" s="976">
        <v>0</v>
      </c>
      <c r="AV254" s="977">
        <v>0</v>
      </c>
      <c r="AW254" s="1040">
        <v>0</v>
      </c>
      <c r="AX254" s="987">
        <v>0</v>
      </c>
    </row>
    <row r="255" spans="10:50">
      <c r="AL255" s="1035" t="s">
        <v>135</v>
      </c>
      <c r="AM255" s="1036" t="s">
        <v>135</v>
      </c>
      <c r="AN255" s="1037">
        <v>0</v>
      </c>
      <c r="AO255" s="1041">
        <v>0</v>
      </c>
      <c r="AP255" s="971">
        <v>0</v>
      </c>
      <c r="AQ255" s="1039">
        <v>0</v>
      </c>
      <c r="AR255" s="973">
        <v>0</v>
      </c>
      <c r="AS255" s="974">
        <v>0</v>
      </c>
      <c r="AT255" s="975" t="s">
        <v>135</v>
      </c>
      <c r="AU255" s="976">
        <v>0</v>
      </c>
      <c r="AV255" s="977">
        <v>0</v>
      </c>
      <c r="AW255" s="1040">
        <v>0</v>
      </c>
      <c r="AX255" s="987">
        <v>0</v>
      </c>
    </row>
    <row r="256" spans="10:50">
      <c r="AL256" s="1035" t="s">
        <v>135</v>
      </c>
      <c r="AM256" s="1036" t="s">
        <v>135</v>
      </c>
      <c r="AN256" s="1037">
        <v>0</v>
      </c>
      <c r="AO256" s="1041">
        <v>0</v>
      </c>
      <c r="AP256" s="971">
        <v>0</v>
      </c>
      <c r="AQ256" s="1039">
        <v>0</v>
      </c>
      <c r="AR256" s="973">
        <v>0</v>
      </c>
      <c r="AS256" s="974">
        <v>0</v>
      </c>
      <c r="AT256" s="975" t="s">
        <v>135</v>
      </c>
      <c r="AU256" s="976">
        <v>0</v>
      </c>
      <c r="AV256" s="977">
        <v>0</v>
      </c>
      <c r="AW256" s="1040">
        <v>0</v>
      </c>
      <c r="AX256" s="987">
        <v>0</v>
      </c>
    </row>
    <row r="257" spans="38:50">
      <c r="AL257" s="1035" t="s">
        <v>135</v>
      </c>
      <c r="AM257" s="1036" t="s">
        <v>135</v>
      </c>
      <c r="AN257" s="1037">
        <v>0</v>
      </c>
      <c r="AO257" s="1041">
        <v>0</v>
      </c>
      <c r="AP257" s="971">
        <v>0</v>
      </c>
      <c r="AQ257" s="1039">
        <v>0</v>
      </c>
      <c r="AR257" s="973">
        <v>0</v>
      </c>
      <c r="AS257" s="974">
        <v>0</v>
      </c>
      <c r="AT257" s="975" t="s">
        <v>135</v>
      </c>
      <c r="AU257" s="976">
        <v>0</v>
      </c>
      <c r="AV257" s="977">
        <v>0</v>
      </c>
      <c r="AW257" s="1040">
        <v>0</v>
      </c>
      <c r="AX257" s="987">
        <v>0</v>
      </c>
    </row>
    <row r="258" spans="38:50">
      <c r="AL258" s="1035" t="s">
        <v>135</v>
      </c>
      <c r="AM258" s="1036" t="s">
        <v>135</v>
      </c>
      <c r="AN258" s="1037">
        <v>0</v>
      </c>
      <c r="AO258" s="1041">
        <v>0</v>
      </c>
      <c r="AP258" s="971">
        <v>0</v>
      </c>
      <c r="AQ258" s="1039">
        <v>0</v>
      </c>
      <c r="AR258" s="973">
        <v>0</v>
      </c>
      <c r="AS258" s="974">
        <v>0</v>
      </c>
      <c r="AT258" s="975" t="s">
        <v>135</v>
      </c>
      <c r="AU258" s="976">
        <v>0</v>
      </c>
      <c r="AV258" s="977">
        <v>0</v>
      </c>
      <c r="AW258" s="1040">
        <v>0</v>
      </c>
      <c r="AX258" s="987">
        <v>0</v>
      </c>
    </row>
    <row r="259" spans="38:50">
      <c r="AL259" s="1035" t="s">
        <v>135</v>
      </c>
      <c r="AM259" s="1036" t="s">
        <v>135</v>
      </c>
      <c r="AN259" s="1037">
        <v>0</v>
      </c>
      <c r="AO259" s="1041">
        <v>0</v>
      </c>
      <c r="AP259" s="971">
        <v>0</v>
      </c>
      <c r="AQ259" s="1039">
        <v>0</v>
      </c>
      <c r="AR259" s="973">
        <v>0</v>
      </c>
      <c r="AS259" s="974">
        <v>0</v>
      </c>
      <c r="AT259" s="975" t="s">
        <v>135</v>
      </c>
      <c r="AU259" s="976">
        <v>0</v>
      </c>
      <c r="AV259" s="977">
        <v>0</v>
      </c>
      <c r="AW259" s="1040">
        <v>0</v>
      </c>
      <c r="AX259" s="987">
        <v>0</v>
      </c>
    </row>
    <row r="260" spans="38:50">
      <c r="AL260" s="1035" t="s">
        <v>135</v>
      </c>
      <c r="AM260" s="1036" t="s">
        <v>135</v>
      </c>
      <c r="AN260" s="1037">
        <v>0</v>
      </c>
      <c r="AO260" s="1041">
        <v>0</v>
      </c>
      <c r="AP260" s="971">
        <v>0</v>
      </c>
      <c r="AQ260" s="1039">
        <v>0</v>
      </c>
      <c r="AR260" s="973">
        <v>0</v>
      </c>
      <c r="AS260" s="974">
        <v>0</v>
      </c>
      <c r="AT260" s="975" t="s">
        <v>135</v>
      </c>
      <c r="AU260" s="976">
        <v>0</v>
      </c>
      <c r="AV260" s="977">
        <v>0</v>
      </c>
      <c r="AW260" s="1040">
        <v>0</v>
      </c>
      <c r="AX260" s="987">
        <v>0</v>
      </c>
    </row>
    <row r="261" spans="38:50">
      <c r="AL261" s="1035" t="s">
        <v>135</v>
      </c>
      <c r="AM261" s="1036" t="s">
        <v>135</v>
      </c>
      <c r="AN261" s="1037">
        <v>0</v>
      </c>
      <c r="AO261" s="1041">
        <v>0</v>
      </c>
      <c r="AP261" s="971">
        <v>0</v>
      </c>
      <c r="AQ261" s="1039">
        <v>0</v>
      </c>
      <c r="AR261" s="973">
        <v>0</v>
      </c>
      <c r="AS261" s="974">
        <v>0</v>
      </c>
      <c r="AT261" s="975" t="s">
        <v>135</v>
      </c>
      <c r="AU261" s="976">
        <v>0</v>
      </c>
      <c r="AV261" s="977">
        <v>0</v>
      </c>
      <c r="AW261" s="1040">
        <v>0</v>
      </c>
      <c r="AX261" s="987">
        <v>0</v>
      </c>
    </row>
    <row r="262" spans="38:50" ht="17.25" thickBot="1">
      <c r="AL262" s="1042" t="s">
        <v>135</v>
      </c>
      <c r="AM262" s="1043" t="s">
        <v>135</v>
      </c>
      <c r="AN262" s="1037">
        <v>0</v>
      </c>
      <c r="AO262" s="1044">
        <v>0</v>
      </c>
      <c r="AP262" s="971">
        <v>0</v>
      </c>
      <c r="AQ262" s="1045">
        <v>0</v>
      </c>
      <c r="AR262" s="973">
        <v>0</v>
      </c>
      <c r="AS262" s="974">
        <v>0</v>
      </c>
      <c r="AT262" s="975" t="s">
        <v>135</v>
      </c>
      <c r="AU262" s="976">
        <v>0</v>
      </c>
      <c r="AV262" s="977">
        <v>0</v>
      </c>
      <c r="AW262" s="1046">
        <v>0</v>
      </c>
      <c r="AX262" s="1047">
        <v>0</v>
      </c>
    </row>
    <row r="263" spans="38:50" ht="17.25" thickBot="1">
      <c r="AL263" s="1092" t="s">
        <v>898</v>
      </c>
      <c r="AM263" s="1093"/>
      <c r="AN263" s="1048">
        <v>62291000</v>
      </c>
      <c r="AO263" s="1048">
        <v>0</v>
      </c>
      <c r="AP263" s="1049">
        <v>62291000</v>
      </c>
      <c r="AQ263" s="1050">
        <v>0</v>
      </c>
      <c r="AR263" s="1051">
        <v>6748192</v>
      </c>
      <c r="AS263" s="1051">
        <v>8473600</v>
      </c>
      <c r="AT263" s="1049">
        <v>77512792</v>
      </c>
      <c r="AU263" s="1052">
        <v>62294319</v>
      </c>
      <c r="AV263" s="1052">
        <v>80978300</v>
      </c>
    </row>
    <row r="264" spans="38:50" ht="17.25" thickBot="1">
      <c r="AL264" s="1082" t="s">
        <v>899</v>
      </c>
      <c r="AM264" s="1083"/>
      <c r="AN264" s="1053">
        <v>69191000</v>
      </c>
      <c r="AO264" s="1053">
        <v>0</v>
      </c>
      <c r="AP264" s="1054">
        <v>69191000</v>
      </c>
      <c r="AQ264" s="1055">
        <v>0</v>
      </c>
      <c r="AR264" s="1055">
        <v>6748192</v>
      </c>
      <c r="AS264" s="1055">
        <v>9195620</v>
      </c>
      <c r="AT264" s="1054">
        <v>85134812</v>
      </c>
      <c r="AU264" s="1052">
        <v>69194319</v>
      </c>
      <c r="AV264" s="1052">
        <v>87878300</v>
      </c>
    </row>
  </sheetData>
  <phoneticPr fontId="1" type="noConversion"/>
  <conditionalFormatting sqref="A15:B15">
    <cfRule type="expression" dxfId="40" priority="3">
      <formula>AND($AF$2=TRUE,$H$49&lt;$L$49)</formula>
    </cfRule>
    <cfRule type="expression" dxfId="39" priority="4">
      <formula>AND($AF$2=TRUE,$H$49&gt;=$L$49)</formula>
    </cfRule>
  </conditionalFormatting>
  <conditionalFormatting sqref="A17:B17">
    <cfRule type="expression" dxfId="38" priority="1">
      <formula>AND($AF$2=TRUE,$H$49&lt;$L$49)</formula>
    </cfRule>
    <cfRule type="expression" dxfId="37" priority="2">
      <formula>AND($AF$2=TRUE,$H$49&gt;=$L$49)</formula>
    </cfRule>
  </conditionalFormatting>
  <conditionalFormatting sqref="B24:B25 F70 B70:B75 F73">
    <cfRule type="cellIs" dxfId="36" priority="38" operator="lessThan">
      <formula>0</formula>
    </cfRule>
  </conditionalFormatting>
  <conditionalFormatting sqref="B32:B47">
    <cfRule type="cellIs" dxfId="35" priority="27" operator="lessThan">
      <formula>0</formula>
    </cfRule>
  </conditionalFormatting>
  <conditionalFormatting sqref="B51">
    <cfRule type="cellIs" dxfId="34" priority="31" operator="lessThan">
      <formula>0</formula>
    </cfRule>
  </conditionalFormatting>
  <conditionalFormatting sqref="B64:B65">
    <cfRule type="cellIs" dxfId="33" priority="32" operator="lessThan">
      <formula>0</formula>
    </cfRule>
  </conditionalFormatting>
  <conditionalFormatting sqref="D14:D21">
    <cfRule type="cellIs" dxfId="32" priority="29" operator="lessThan">
      <formula>0</formula>
    </cfRule>
  </conditionalFormatting>
  <conditionalFormatting sqref="D24:D25">
    <cfRule type="cellIs" dxfId="31" priority="19" operator="lessThan">
      <formula>0</formula>
    </cfRule>
  </conditionalFormatting>
  <conditionalFormatting sqref="D33:D39">
    <cfRule type="cellIs" dxfId="30" priority="18" operator="lessThan">
      <formula>0</formula>
    </cfRule>
  </conditionalFormatting>
  <conditionalFormatting sqref="D64:D65">
    <cfRule type="cellIs" dxfId="29" priority="34" operator="lessThan">
      <formula>0</formula>
    </cfRule>
  </conditionalFormatting>
  <conditionalFormatting sqref="E70:E75">
    <cfRule type="cellIs" dxfId="28" priority="22" operator="lessThan">
      <formula>0</formula>
    </cfRule>
  </conditionalFormatting>
  <conditionalFormatting sqref="F14:F21">
    <cfRule type="cellIs" dxfId="27" priority="28" operator="lessThan">
      <formula>0</formula>
    </cfRule>
  </conditionalFormatting>
  <conditionalFormatting sqref="F24:F25">
    <cfRule type="cellIs" dxfId="26" priority="20" operator="lessThan">
      <formula>0</formula>
    </cfRule>
  </conditionalFormatting>
  <conditionalFormatting sqref="F32:F41">
    <cfRule type="cellIs" dxfId="25" priority="17" operator="lessThan">
      <formula>0</formula>
    </cfRule>
  </conditionalFormatting>
  <conditionalFormatting sqref="F51:F52">
    <cfRule type="cellIs" dxfId="24" priority="30" operator="lessThan">
      <formula>0</formula>
    </cfRule>
  </conditionalFormatting>
  <conditionalFormatting sqref="F64:F65">
    <cfRule type="cellIs" dxfId="23" priority="33" operator="lessThan">
      <formula>0</formula>
    </cfRule>
  </conditionalFormatting>
  <conditionalFormatting sqref="H14:H21">
    <cfRule type="cellIs" dxfId="22" priority="39" operator="lessThan">
      <formula>0</formula>
    </cfRule>
  </conditionalFormatting>
  <conditionalFormatting sqref="H24:H25">
    <cfRule type="cellIs" dxfId="21" priority="21" operator="lessThan">
      <formula>0</formula>
    </cfRule>
  </conditionalFormatting>
  <conditionalFormatting sqref="H32:H52">
    <cfRule type="cellIs" dxfId="20" priority="16" operator="lessThan">
      <formula>0</formula>
    </cfRule>
  </conditionalFormatting>
  <conditionalFormatting sqref="H57:H63">
    <cfRule type="cellIs" dxfId="19" priority="15" operator="lessThan">
      <formula>0</formula>
    </cfRule>
  </conditionalFormatting>
  <conditionalFormatting sqref="H70:H71">
    <cfRule type="cellIs" dxfId="18" priority="6" operator="lessThan">
      <formula>0</formula>
    </cfRule>
  </conditionalFormatting>
  <conditionalFormatting sqref="H73:H74">
    <cfRule type="cellIs" dxfId="17" priority="5" operator="lessThan">
      <formula>0</formula>
    </cfRule>
  </conditionalFormatting>
  <conditionalFormatting sqref="I70">
    <cfRule type="cellIs" dxfId="16" priority="8" operator="lessThan">
      <formula>0</formula>
    </cfRule>
  </conditionalFormatting>
  <conditionalFormatting sqref="I73">
    <cfRule type="cellIs" dxfId="15" priority="7" operator="lessThan">
      <formula>0</formula>
    </cfRule>
  </conditionalFormatting>
  <pageMargins left="0.7" right="0.7" top="0.75" bottom="0.75" header="0.3" footer="0.3"/>
  <pageSetup paperSize="9" scale="75" orientation="portrait" verticalDpi="0" r:id="rId1"/>
  <legacyDrawing r:id="rId2"/>
  <extLst>
    <ext xmlns:x14="http://schemas.microsoft.com/office/spreadsheetml/2009/9/main" uri="{78C0D931-6437-407d-A8EE-F0AAD7539E65}">
      <x14:conditionalFormattings>
        <x14:conditionalFormatting xmlns:xm="http://schemas.microsoft.com/office/excel/2006/main">
          <x14:cfRule type="expression" priority="9" id="{A839ADE6-95D9-404C-9C52-FB7ADF215A2E}">
            <xm:f>COUNTIF(데이터입력!$B$42:$B$80,J8)&gt;0</xm:f>
            <x14:dxf>
              <font>
                <b val="0"/>
                <i val="0"/>
              </font>
              <fill>
                <patternFill>
                  <bgColor theme="9" tint="0.79998168889431442"/>
                </patternFill>
              </fill>
            </x14:dxf>
          </x14:cfRule>
          <x14:cfRule type="expression" priority="10" id="{4008921D-82D9-497A-9662-ACD81E6A6C49}">
            <xm:f>COUNTIF(데이터입력!$B$3:$B$28,J8)&gt;0</xm:f>
            <x14:dxf>
              <font>
                <b val="0"/>
                <i val="0"/>
              </font>
              <fill>
                <patternFill>
                  <bgColor theme="9" tint="0.79998168889431442"/>
                </patternFill>
              </fill>
            </x14:dxf>
          </x14:cfRule>
          <xm:sqref>J8:J1048576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80F46-E095-41AE-8D33-54AAA9FAB773}">
  <sheetPr>
    <tabColor theme="7"/>
  </sheetPr>
  <dimension ref="A1:X206"/>
  <sheetViews>
    <sheetView topLeftCell="B19" workbookViewId="0">
      <selection activeCell="B3" sqref="B3:K39"/>
    </sheetView>
  </sheetViews>
  <sheetFormatPr defaultRowHeight="16.5"/>
  <cols>
    <col min="1" max="1" width="4.5" style="172" hidden="1" customWidth="1"/>
    <col min="2" max="2" width="4.625" style="189" customWidth="1"/>
    <col min="3" max="3" width="15.375" style="190" customWidth="1"/>
    <col min="4" max="4" width="7.375" customWidth="1"/>
    <col min="5" max="5" width="14" customWidth="1"/>
    <col min="6" max="6" width="6.375" customWidth="1"/>
    <col min="7" max="7" width="14" customWidth="1"/>
    <col min="8" max="8" width="14" style="191" customWidth="1"/>
    <col min="9" max="11" width="4.5" customWidth="1"/>
    <col min="12" max="12" width="5.625" style="172" customWidth="1"/>
    <col min="13" max="13" width="6.875" style="193" customWidth="1"/>
    <col min="14" max="14" width="20" style="193" customWidth="1"/>
    <col min="15" max="16" width="9" style="194"/>
    <col min="17" max="17" width="13" style="194" customWidth="1"/>
    <col min="18" max="18" width="9" style="194"/>
    <col min="19" max="19" width="7.25" style="194" customWidth="1"/>
    <col min="20" max="20" width="12" style="195" customWidth="1"/>
    <col min="21" max="24" width="12" style="196" customWidth="1"/>
  </cols>
  <sheetData>
    <row r="1" spans="1:24" ht="20.25">
      <c r="A1" s="171"/>
      <c r="B1" s="1620" t="str">
        <f>IF(AND(데이터입력!$AM$1=TRUE,데이터입력!$AE$2="추경"),"추경예산서 업로드(W4C)","본예산서 업로드")</f>
        <v>본예산서 업로드</v>
      </c>
      <c r="C1" s="1620"/>
      <c r="D1" s="1620"/>
      <c r="E1" s="1620"/>
      <c r="F1" s="1620"/>
      <c r="G1" s="1620"/>
      <c r="H1" s="1620"/>
      <c r="I1" s="1620"/>
      <c r="J1" s="1620"/>
      <c r="K1" s="1620"/>
      <c r="L1" s="171"/>
      <c r="M1" s="1621" t="str">
        <f>IF(AND(데이터입력!$AM$1=TRUE,데이터입력!$AE$2="추경"),"추경예산 보수일람표 업로드(W4C)","본예산 보수일람표 업로드")</f>
        <v>본예산 보수일람표 업로드</v>
      </c>
      <c r="N1" s="1621"/>
      <c r="O1" s="1621"/>
      <c r="P1" s="1621"/>
      <c r="Q1" s="1621"/>
      <c r="R1" s="1621"/>
      <c r="S1" s="1621"/>
      <c r="T1" s="1621"/>
      <c r="U1" s="1621"/>
      <c r="V1" s="1621"/>
      <c r="W1" s="1621"/>
      <c r="X1" s="1621"/>
    </row>
    <row r="2" spans="1:24" ht="24">
      <c r="B2" s="173" t="s">
        <v>452</v>
      </c>
      <c r="C2" s="174" t="s">
        <v>453</v>
      </c>
      <c r="D2" s="175" t="s">
        <v>2</v>
      </c>
      <c r="E2" s="175" t="s">
        <v>1</v>
      </c>
      <c r="F2" s="176" t="s">
        <v>474</v>
      </c>
      <c r="G2" s="175" t="s">
        <v>475</v>
      </c>
      <c r="H2" s="177" t="s">
        <v>207</v>
      </c>
      <c r="I2" s="175" t="s">
        <v>476</v>
      </c>
      <c r="J2" s="175" t="s">
        <v>477</v>
      </c>
      <c r="K2" s="175" t="s">
        <v>478</v>
      </c>
      <c r="M2" s="178" t="s">
        <v>452</v>
      </c>
      <c r="N2" s="178" t="s">
        <v>453</v>
      </c>
      <c r="O2" s="178" t="s">
        <v>454</v>
      </c>
      <c r="P2" s="178" t="s">
        <v>249</v>
      </c>
      <c r="Q2" s="178" t="s">
        <v>247</v>
      </c>
      <c r="R2" s="178" t="s">
        <v>455</v>
      </c>
      <c r="S2" s="178" t="s">
        <v>456</v>
      </c>
      <c r="T2" s="179" t="s">
        <v>250</v>
      </c>
      <c r="U2" s="179" t="s">
        <v>431</v>
      </c>
      <c r="V2" s="179" t="s">
        <v>432</v>
      </c>
      <c r="W2" s="179" t="s">
        <v>457</v>
      </c>
      <c r="X2" s="179" t="s">
        <v>458</v>
      </c>
    </row>
    <row r="3" spans="1:24" ht="24">
      <c r="A3" s="172">
        <v>1</v>
      </c>
      <c r="B3" s="180" t="str">
        <f>IFERROR(IF(F3="06",데이터입력!$AB$8,IF(F3="07",데이터입력!$AD$8,IF(F3="05",데이터입력!$AF$8,데이터입력!$AB$8))),데이터입력!$AB$8)</f>
        <v>00</v>
      </c>
      <c r="C3" s="584" t="str">
        <f>데이터입력!$AC$9</f>
        <v>일반사업[일반]</v>
      </c>
      <c r="D3" s="185">
        <f>IFERROR(VLOOKUP($A3,데이터입력!$A:$H,4,FALSE),"")</f>
        <v>401010201</v>
      </c>
      <c r="E3" s="185" t="str">
        <f>IFERROR(VLOOKUP($A3,데이터입력!$A:$H,2,FALSE),"")</f>
        <v>본인부담금수입</v>
      </c>
      <c r="F3" s="185" t="str">
        <f>IFERROR(VLOOKUP($A3,데이터입력!$A:$H,5,FALSE),"")</f>
        <v>06</v>
      </c>
      <c r="G3" s="185" t="str">
        <f>IFERROR(VLOOKUP($A3,데이터입력!$A:$H,6,FALSE),"")</f>
        <v>수익사업</v>
      </c>
      <c r="H3" s="186">
        <f>IFERROR(VLOOKUP($A3,데이터입력!$A:$L,8,FALSE)+VLOOKUP($A3,데이터입력!$A:$L,9,FALSE)+VLOOKUP($A3,데이터입력!$A:$L,10,FALSE),"")</f>
        <v>202560000</v>
      </c>
      <c r="I3" s="187" t="s">
        <v>135</v>
      </c>
      <c r="J3" s="187" t="s">
        <v>135</v>
      </c>
      <c r="K3" s="187" t="s">
        <v>135</v>
      </c>
      <c r="L3" s="586"/>
      <c r="M3" s="182" t="str">
        <f>데이터입력!$AB$8</f>
        <v>00</v>
      </c>
      <c r="N3" s="185" t="str">
        <f>데이터입력!$AC$9</f>
        <v>일반사업[일반]</v>
      </c>
      <c r="O3" s="183" t="str">
        <f>IFERROR(VLOOKUP($A3,#REF!,4,FALSE),"")</f>
        <v/>
      </c>
      <c r="P3" s="183" t="str">
        <f>IFERROR(VLOOKUP($A3,#REF!,5,FALSE),"")</f>
        <v/>
      </c>
      <c r="Q3" s="789" t="str">
        <f>IFERROR(VLOOKUP($A3,#REF!,6,FALSE),"")</f>
        <v/>
      </c>
      <c r="R3" s="183" t="str">
        <f>IFERROR(VLOOKUP($A3,#REF!,7,FALSE),"")</f>
        <v/>
      </c>
      <c r="S3" s="183"/>
      <c r="T3" s="184" t="str">
        <f>IFERROR(VLOOKUP($A3,#REF!,9,FALSE),"")</f>
        <v/>
      </c>
      <c r="U3" s="184" t="str">
        <f>IFERROR(VLOOKUP($A3,#REF!,10,FALSE),"")</f>
        <v/>
      </c>
      <c r="V3" s="184" t="str">
        <f>IFERROR(VLOOKUP($A3,#REF!,11,FALSE),"")</f>
        <v/>
      </c>
      <c r="W3" s="184" t="str">
        <f>IFERROR(VLOOKUP($A3,#REF!,12,FALSE),"")</f>
        <v/>
      </c>
      <c r="X3" s="184" t="str">
        <f>IFERROR(VLOOKUP($A3,#REF!,13,FALSE),"")</f>
        <v/>
      </c>
    </row>
    <row r="4" spans="1:24">
      <c r="A4" s="172">
        <v>2</v>
      </c>
      <c r="B4" s="180" t="str">
        <f>IFERROR(IF(F4="06",데이터입력!$AB$8,IF(F4="07",데이터입력!$AD$8,IF(F4="05",데이터입력!$AF$8,데이터입력!$AB$8))),데이터입력!$AB$8)</f>
        <v>00</v>
      </c>
      <c r="C4" s="584" t="str">
        <f>데이터입력!$AC$9</f>
        <v>일반사업[일반]</v>
      </c>
      <c r="D4" s="185">
        <f>IFERROR(VLOOKUP($A4,데이터입력!$A:$H,4,FALSE),"")</f>
        <v>401010301</v>
      </c>
      <c r="E4" s="185" t="str">
        <f>IFERROR(VLOOKUP($A4,데이터입력!$A:$H,2,FALSE),"")</f>
        <v>식재료비수입</v>
      </c>
      <c r="F4" s="185" t="str">
        <f>IFERROR(VLOOKUP($A4,데이터입력!$A:$H,5,FALSE),"")</f>
        <v>06</v>
      </c>
      <c r="G4" s="185" t="str">
        <f>IFERROR(VLOOKUP($A4,데이터입력!$A:$H,6,FALSE),"")</f>
        <v>수익사업</v>
      </c>
      <c r="H4" s="186">
        <f>IFERROR(VLOOKUP($A4,데이터입력!$A:$L,8,FALSE)+VLOOKUP($A4,데이터입력!$A:$L,9,FALSE)+VLOOKUP($A4,데이터입력!$A:$L,10,FALSE),"")</f>
        <v>119180160</v>
      </c>
      <c r="I4" s="187" t="s">
        <v>135</v>
      </c>
      <c r="J4" s="187" t="s">
        <v>135</v>
      </c>
      <c r="K4" s="187" t="s">
        <v>135</v>
      </c>
      <c r="M4" s="182" t="str">
        <f>데이터입력!$AB$8</f>
        <v>00</v>
      </c>
      <c r="N4" s="185" t="str">
        <f>데이터입력!$AC$9</f>
        <v>일반사업[일반]</v>
      </c>
      <c r="O4" s="183" t="str">
        <f>IFERROR(VLOOKUP($A4,#REF!,4,FALSE),"")</f>
        <v/>
      </c>
      <c r="P4" s="183" t="str">
        <f>IFERROR(VLOOKUP($A4,#REF!,5,FALSE),"")</f>
        <v/>
      </c>
      <c r="Q4" s="789" t="str">
        <f>IFERROR(VLOOKUP($A4,#REF!,6,FALSE),"")</f>
        <v/>
      </c>
      <c r="R4" s="183" t="str">
        <f>IFERROR(VLOOKUP($A4,#REF!,7,FALSE),"")</f>
        <v/>
      </c>
      <c r="S4" s="183"/>
      <c r="T4" s="184" t="str">
        <f>IFERROR(VLOOKUP($A4,#REF!,9,FALSE),"")</f>
        <v/>
      </c>
      <c r="U4" s="184" t="str">
        <f>IFERROR(VLOOKUP($A4,#REF!,10,FALSE),"")</f>
        <v/>
      </c>
      <c r="V4" s="184" t="str">
        <f>IFERROR(VLOOKUP($A4,#REF!,11,FALSE),"")</f>
        <v/>
      </c>
      <c r="W4" s="184" t="str">
        <f>IFERROR(VLOOKUP($A4,#REF!,12,FALSE),"")</f>
        <v/>
      </c>
      <c r="X4" s="184" t="str">
        <f>IFERROR(VLOOKUP($A4,#REF!,13,FALSE),"")</f>
        <v/>
      </c>
    </row>
    <row r="5" spans="1:24">
      <c r="A5" s="172">
        <v>3</v>
      </c>
      <c r="B5" s="180" t="str">
        <f>IFERROR(IF(F5="06",데이터입력!$AB$8,IF(F5="07",데이터입력!$AD$8,IF(F5="05",데이터입력!$AF$8,데이터입력!$AB$8))),데이터입력!$AB$8)</f>
        <v>00</v>
      </c>
      <c r="C5" s="584" t="str">
        <f>데이터입력!$AC$9</f>
        <v>일반사업[일반]</v>
      </c>
      <c r="D5" s="185">
        <f>IFERROR(VLOOKUP($A5,데이터입력!$A:$H,4,FALSE),"")</f>
        <v>401010601</v>
      </c>
      <c r="E5" s="185" t="str">
        <f>IFERROR(VLOOKUP($A5,데이터입력!$A:$H,2,FALSE),"")</f>
        <v>기타비급여수입</v>
      </c>
      <c r="F5" s="185" t="str">
        <f>IFERROR(VLOOKUP($A5,데이터입력!$A:$H,5,FALSE),"")</f>
        <v>06</v>
      </c>
      <c r="G5" s="185" t="str">
        <f>IFERROR(VLOOKUP($A5,데이터입력!$A:$H,6,FALSE),"")</f>
        <v>수익사업</v>
      </c>
      <c r="H5" s="186">
        <f>IFERROR(VLOOKUP($A5,데이터입력!$A:$L,8,FALSE)+VLOOKUP($A5,데이터입력!$A:$L,9,FALSE)+VLOOKUP($A5,데이터입력!$A:$L,10,FALSE),"")</f>
        <v>36000000</v>
      </c>
      <c r="I5" s="187" t="s">
        <v>135</v>
      </c>
      <c r="J5" s="187" t="s">
        <v>135</v>
      </c>
      <c r="K5" s="187" t="s">
        <v>135</v>
      </c>
      <c r="M5" s="182" t="str">
        <f>데이터입력!$AB$8</f>
        <v>00</v>
      </c>
      <c r="N5" s="185" t="str">
        <f>데이터입력!$AC$9</f>
        <v>일반사업[일반]</v>
      </c>
      <c r="O5" s="183" t="str">
        <f>IFERROR(VLOOKUP($A5,#REF!,4,FALSE),"")</f>
        <v/>
      </c>
      <c r="P5" s="183" t="str">
        <f>IFERROR(VLOOKUP($A5,#REF!,5,FALSE),"")</f>
        <v/>
      </c>
      <c r="Q5" s="789" t="str">
        <f>IFERROR(VLOOKUP($A5,#REF!,6,FALSE),"")</f>
        <v/>
      </c>
      <c r="R5" s="183" t="str">
        <f>IFERROR(VLOOKUP($A5,#REF!,7,FALSE),"")</f>
        <v/>
      </c>
      <c r="S5" s="183"/>
      <c r="T5" s="184" t="str">
        <f>IFERROR(VLOOKUP($A5,#REF!,9,FALSE),"")</f>
        <v/>
      </c>
      <c r="U5" s="184" t="str">
        <f>IFERROR(VLOOKUP($A5,#REF!,10,FALSE),"")</f>
        <v/>
      </c>
      <c r="V5" s="184" t="str">
        <f>IFERROR(VLOOKUP($A5,#REF!,11,FALSE),"")</f>
        <v/>
      </c>
      <c r="W5" s="184" t="str">
        <f>IFERROR(VLOOKUP($A5,#REF!,12,FALSE),"")</f>
        <v/>
      </c>
      <c r="X5" s="184" t="str">
        <f>IFERROR(VLOOKUP($A5,#REF!,13,FALSE),"")</f>
        <v/>
      </c>
    </row>
    <row r="6" spans="1:24" ht="22.5">
      <c r="A6" s="172">
        <v>4</v>
      </c>
      <c r="B6" s="180" t="str">
        <f>IFERROR(IF(F6="06",데이터입력!$AB$8,IF(F6="07",데이터입력!$AD$8,IF(F6="05",데이터입력!$AF$8,데이터입력!$AB$8))),데이터입력!$AB$8)</f>
        <v>00</v>
      </c>
      <c r="C6" s="584" t="str">
        <f>데이터입력!$AC$9</f>
        <v>일반사업[일반]</v>
      </c>
      <c r="D6" s="185">
        <f>IFERROR(VLOOKUP($A6,데이터입력!$A:$H,4,FALSE),"")</f>
        <v>406010101</v>
      </c>
      <c r="E6" s="185" t="str">
        <f>IFERROR(VLOOKUP($A6,데이터입력!$A:$H,2,FALSE),"")</f>
        <v>장기요양급여수입(인건비비율 반영)</v>
      </c>
      <c r="F6" s="185" t="str">
        <f>IFERROR(VLOOKUP($A6,데이터입력!$A:$H,5,FALSE),"")</f>
        <v>06</v>
      </c>
      <c r="G6" s="185" t="str">
        <f>IFERROR(VLOOKUP($A6,데이터입력!$A:$H,6,FALSE),"")</f>
        <v>수익사업</v>
      </c>
      <c r="H6" s="186">
        <f>IFERROR(VLOOKUP($A6,데이터입력!$A:$L,8,FALSE)+VLOOKUP($A6,데이터입력!$A:$L,9,FALSE)+VLOOKUP($A6,데이터입력!$A:$L,10,FALSE),"")</f>
        <v>1193796000</v>
      </c>
      <c r="I6" s="187" t="s">
        <v>135</v>
      </c>
      <c r="J6" s="187" t="s">
        <v>135</v>
      </c>
      <c r="K6" s="187" t="s">
        <v>135</v>
      </c>
      <c r="M6" s="182" t="str">
        <f>데이터입력!$AB$8</f>
        <v>00</v>
      </c>
      <c r="N6" s="185" t="str">
        <f>데이터입력!$AC$9</f>
        <v>일반사업[일반]</v>
      </c>
      <c r="O6" s="183" t="str">
        <f>IFERROR(VLOOKUP($A6,#REF!,4,FALSE),"")</f>
        <v/>
      </c>
      <c r="P6" s="183" t="str">
        <f>IFERROR(VLOOKUP($A6,#REF!,5,FALSE),"")</f>
        <v/>
      </c>
      <c r="Q6" s="789" t="str">
        <f>IFERROR(VLOOKUP($A6,#REF!,6,FALSE),"")</f>
        <v/>
      </c>
      <c r="R6" s="183" t="str">
        <f>IFERROR(VLOOKUP($A6,#REF!,7,FALSE),"")</f>
        <v/>
      </c>
      <c r="S6" s="183"/>
      <c r="T6" s="184" t="str">
        <f>IFERROR(VLOOKUP($A6,#REF!,9,FALSE),"")</f>
        <v/>
      </c>
      <c r="U6" s="184" t="str">
        <f>IFERROR(VLOOKUP($A6,#REF!,10,FALSE),"")</f>
        <v/>
      </c>
      <c r="V6" s="184" t="str">
        <f>IFERROR(VLOOKUP($A6,#REF!,11,FALSE),"")</f>
        <v/>
      </c>
      <c r="W6" s="184" t="str">
        <f>IFERROR(VLOOKUP($A6,#REF!,12,FALSE),"")</f>
        <v/>
      </c>
      <c r="X6" s="184" t="str">
        <f>IFERROR(VLOOKUP($A6,#REF!,13,FALSE),"")</f>
        <v/>
      </c>
    </row>
    <row r="7" spans="1:24" ht="22.5">
      <c r="A7" s="172">
        <v>5</v>
      </c>
      <c r="B7" s="180" t="str">
        <f>IFERROR(IF(F7="06",데이터입력!$AB$8,IF(F7="07",데이터입력!$AD$8,IF(F7="05",데이터입력!$AF$8,데이터입력!$AB$8))),데이터입력!$AB$8)</f>
        <v>00</v>
      </c>
      <c r="C7" s="584" t="str">
        <f>데이터입력!$AC$9</f>
        <v>일반사업[일반]</v>
      </c>
      <c r="D7" s="185">
        <f>IFERROR(VLOOKUP($A7,데이터입력!$A:$H,4,FALSE),"")</f>
        <v>406010201</v>
      </c>
      <c r="E7" s="185" t="str">
        <f>IFERROR(VLOOKUP($A7,데이터입력!$A:$H,2,FALSE),"")</f>
        <v>가산금수입(인건비비율 반영)</v>
      </c>
      <c r="F7" s="185" t="str">
        <f>IFERROR(VLOOKUP($A7,데이터입력!$A:$H,5,FALSE),"")</f>
        <v>06</v>
      </c>
      <c r="G7" s="185" t="str">
        <f>IFERROR(VLOOKUP($A7,데이터입력!$A:$H,6,FALSE),"")</f>
        <v>수익사업</v>
      </c>
      <c r="H7" s="186">
        <f>IFERROR(VLOOKUP($A7,데이터입력!$A:$L,8,FALSE)+VLOOKUP($A7,데이터입력!$A:$L,9,FALSE)+VLOOKUP($A7,데이터입력!$A:$L,10,FALSE),"")</f>
        <v>79200000</v>
      </c>
      <c r="I7" s="181" t="s">
        <v>135</v>
      </c>
      <c r="J7" s="181" t="s">
        <v>135</v>
      </c>
      <c r="K7" s="181" t="s">
        <v>135</v>
      </c>
      <c r="M7" s="182" t="str">
        <f>데이터입력!$AB$8</f>
        <v>00</v>
      </c>
      <c r="N7" s="185" t="str">
        <f>데이터입력!$AC$9</f>
        <v>일반사업[일반]</v>
      </c>
      <c r="O7" s="183" t="str">
        <f>IFERROR(VLOOKUP($A7,#REF!,4,FALSE),"")</f>
        <v/>
      </c>
      <c r="P7" s="183" t="str">
        <f>IFERROR(VLOOKUP($A7,#REF!,5,FALSE),"")</f>
        <v/>
      </c>
      <c r="Q7" s="789" t="str">
        <f>IFERROR(VLOOKUP($A7,#REF!,6,FALSE),"")</f>
        <v/>
      </c>
      <c r="R7" s="183" t="str">
        <f>IFERROR(VLOOKUP($A7,#REF!,7,FALSE),"")</f>
        <v/>
      </c>
      <c r="S7" s="183"/>
      <c r="T7" s="184" t="str">
        <f>IFERROR(VLOOKUP($A7,#REF!,9,FALSE),"")</f>
        <v/>
      </c>
      <c r="U7" s="184" t="str">
        <f>IFERROR(VLOOKUP($A7,#REF!,10,FALSE),"")</f>
        <v/>
      </c>
      <c r="V7" s="184" t="str">
        <f>IFERROR(VLOOKUP($A7,#REF!,11,FALSE),"")</f>
        <v/>
      </c>
      <c r="W7" s="184" t="str">
        <f>IFERROR(VLOOKUP($A7,#REF!,12,FALSE),"")</f>
        <v/>
      </c>
      <c r="X7" s="184" t="str">
        <f>IFERROR(VLOOKUP($A7,#REF!,13,FALSE),"")</f>
        <v/>
      </c>
    </row>
    <row r="8" spans="1:24">
      <c r="A8" s="172">
        <v>6</v>
      </c>
      <c r="B8" s="180" t="str">
        <f>IFERROR(IF(F8="06",데이터입력!$AB$8,IF(F8="07",데이터입력!$AD$8,IF(F8="05",데이터입력!$AF$8,데이터입력!$AB$8))),데이터입력!$AB$8)</f>
        <v>00</v>
      </c>
      <c r="C8" s="584" t="str">
        <f>데이터입력!$AC$9</f>
        <v>일반사업[일반]</v>
      </c>
      <c r="D8" s="185">
        <f>IFERROR(VLOOKUP($A8,데이터입력!$A:$H,4,FALSE),"")</f>
        <v>408010301</v>
      </c>
      <c r="E8" s="185" t="str">
        <f>IFERROR(VLOOKUP($A8,데이터입력!$A:$H,2,FALSE),"")</f>
        <v>기타전입금</v>
      </c>
      <c r="F8" s="185" t="str">
        <f>IFERROR(VLOOKUP($A8,데이터입력!$A:$H,5,FALSE),"")</f>
        <v>06</v>
      </c>
      <c r="G8" s="185" t="str">
        <f>IFERROR(VLOOKUP($A8,데이터입력!$A:$H,6,FALSE),"")</f>
        <v>수익사업</v>
      </c>
      <c r="H8" s="186">
        <f>IFERROR(VLOOKUP($A8,데이터입력!$A:$L,8,FALSE)+VLOOKUP($A8,데이터입력!$A:$L,9,FALSE)+VLOOKUP($A8,데이터입력!$A:$L,10,FALSE),"")</f>
        <v>12000000</v>
      </c>
      <c r="I8" s="187" t="s">
        <v>135</v>
      </c>
      <c r="J8" s="187" t="s">
        <v>135</v>
      </c>
      <c r="K8" s="187" t="s">
        <v>135</v>
      </c>
      <c r="M8" s="182" t="str">
        <f>데이터입력!$AB$8</f>
        <v>00</v>
      </c>
      <c r="N8" s="185" t="str">
        <f>데이터입력!$AC$9</f>
        <v>일반사업[일반]</v>
      </c>
      <c r="O8" s="183" t="str">
        <f>IFERROR(VLOOKUP($A8,#REF!,4,FALSE),"")</f>
        <v/>
      </c>
      <c r="P8" s="183" t="str">
        <f>IFERROR(VLOOKUP($A8,#REF!,5,FALSE),"")</f>
        <v/>
      </c>
      <c r="Q8" s="789" t="str">
        <f>IFERROR(VLOOKUP($A8,#REF!,6,FALSE),"")</f>
        <v/>
      </c>
      <c r="R8" s="183" t="str">
        <f>IFERROR(VLOOKUP($A8,#REF!,7,FALSE),"")</f>
        <v/>
      </c>
      <c r="S8" s="183"/>
      <c r="T8" s="184" t="str">
        <f>IFERROR(VLOOKUP($A8,#REF!,9,FALSE),"")</f>
        <v/>
      </c>
      <c r="U8" s="184" t="str">
        <f>IFERROR(VLOOKUP($A8,#REF!,10,FALSE),"")</f>
        <v/>
      </c>
      <c r="V8" s="184" t="str">
        <f>IFERROR(VLOOKUP($A8,#REF!,11,FALSE),"")</f>
        <v/>
      </c>
      <c r="W8" s="184" t="str">
        <f>IFERROR(VLOOKUP($A8,#REF!,12,FALSE),"")</f>
        <v/>
      </c>
      <c r="X8" s="184" t="str">
        <f>IFERROR(VLOOKUP($A8,#REF!,13,FALSE),"")</f>
        <v/>
      </c>
    </row>
    <row r="9" spans="1:24" ht="24">
      <c r="A9" s="172">
        <v>7</v>
      </c>
      <c r="B9" s="180" t="str">
        <f>IFERROR(IF(F9="06",데이터입력!$AB$8,IF(F9="07",데이터입력!$AD$8,IF(F9="05",데이터입력!$AF$8,데이터입력!$AB$8))),데이터입력!$AB$8)</f>
        <v>00</v>
      </c>
      <c r="C9" s="584" t="str">
        <f>데이터입력!$AC$9</f>
        <v>일반사업[일반]</v>
      </c>
      <c r="D9" s="185">
        <f>IFERROR(VLOOKUP($A9,데이터입력!$A:$H,4,FALSE),"")</f>
        <v>409010101</v>
      </c>
      <c r="E9" s="185" t="str">
        <f>IFERROR(VLOOKUP($A9,데이터입력!$A:$H,2,FALSE),"")</f>
        <v>전년도이월금</v>
      </c>
      <c r="F9" s="185" t="str">
        <f>IFERROR(VLOOKUP($A9,데이터입력!$A:$H,5,FALSE),"")</f>
        <v>06</v>
      </c>
      <c r="G9" s="185" t="str">
        <f>IFERROR(VLOOKUP($A9,데이터입력!$A:$H,6,FALSE),"")</f>
        <v>수익사업</v>
      </c>
      <c r="H9" s="186">
        <f>IFERROR(VLOOKUP($A9,데이터입력!$A:$L,8,FALSE)+VLOOKUP($A9,데이터입력!$A:$L,9,FALSE)+VLOOKUP($A9,데이터입력!$A:$L,10,FALSE),"")</f>
        <v>75336977</v>
      </c>
      <c r="I9" s="181" t="s">
        <v>135</v>
      </c>
      <c r="J9" s="181" t="s">
        <v>135</v>
      </c>
      <c r="K9" s="181" t="s">
        <v>135</v>
      </c>
      <c r="M9" s="182" t="str">
        <f>데이터입력!$AB$8</f>
        <v>00</v>
      </c>
      <c r="N9" s="185" t="str">
        <f>데이터입력!$AC$9</f>
        <v>일반사업[일반]</v>
      </c>
      <c r="O9" s="183" t="str">
        <f>IFERROR(VLOOKUP($A9,#REF!,4,FALSE),"")</f>
        <v/>
      </c>
      <c r="P9" s="183" t="str">
        <f>IFERROR(VLOOKUP($A9,#REF!,5,FALSE),"")</f>
        <v/>
      </c>
      <c r="Q9" s="789" t="str">
        <f>IFERROR(VLOOKUP($A9,#REF!,6,FALSE),"")</f>
        <v/>
      </c>
      <c r="R9" s="183" t="str">
        <f>IFERROR(VLOOKUP($A9,#REF!,7,FALSE),"")</f>
        <v/>
      </c>
      <c r="S9" s="183"/>
      <c r="T9" s="184" t="str">
        <f>IFERROR(VLOOKUP($A9,#REF!,9,FALSE),"")</f>
        <v/>
      </c>
      <c r="U9" s="184" t="str">
        <f>IFERROR(VLOOKUP($A9,#REF!,10,FALSE),"")</f>
        <v/>
      </c>
      <c r="V9" s="184" t="str">
        <f>IFERROR(VLOOKUP($A9,#REF!,11,FALSE),"")</f>
        <v/>
      </c>
      <c r="W9" s="184" t="str">
        <f>IFERROR(VLOOKUP($A9,#REF!,12,FALSE),"")</f>
        <v/>
      </c>
      <c r="X9" s="184" t="str">
        <f>IFERROR(VLOOKUP($A9,#REF!,13,FALSE),"")</f>
        <v/>
      </c>
    </row>
    <row r="10" spans="1:24" ht="24">
      <c r="A10" s="172">
        <v>8</v>
      </c>
      <c r="B10" s="180" t="str">
        <f>IFERROR(IF(F10="06",데이터입력!$AB$8,IF(F10="07",데이터입력!$AD$8,IF(F10="05",데이터입력!$AF$8,데이터입력!$AB$8))),데이터입력!$AB$8)</f>
        <v>00</v>
      </c>
      <c r="C10" s="584" t="str">
        <f>데이터입력!$AC$9</f>
        <v>일반사업[일반]</v>
      </c>
      <c r="D10" s="185">
        <f>IFERROR(VLOOKUP($A10,데이터입력!$A:$H,4,FALSE),"")</f>
        <v>409010301</v>
      </c>
      <c r="E10" s="185" t="str">
        <f>IFERROR(VLOOKUP($A10,데이터입력!$A:$H,2,FALSE),"")</f>
        <v>전년도이월금(식재료비)</v>
      </c>
      <c r="F10" s="185" t="str">
        <f>IFERROR(VLOOKUP($A10,데이터입력!$A:$H,5,FALSE),"")</f>
        <v>06</v>
      </c>
      <c r="G10" s="185" t="str">
        <f>IFERROR(VLOOKUP($A10,데이터입력!$A:$H,6,FALSE),"")</f>
        <v>수익사업</v>
      </c>
      <c r="H10" s="186">
        <f>IFERROR(VLOOKUP($A10,데이터입력!$A:$L,8,FALSE)+VLOOKUP($A10,데이터입력!$A:$L,9,FALSE)+VLOOKUP($A10,데이터입력!$A:$L,10,FALSE),"")</f>
        <v>46555502</v>
      </c>
      <c r="I10" s="187" t="s">
        <v>135</v>
      </c>
      <c r="J10" s="187" t="s">
        <v>135</v>
      </c>
      <c r="K10" s="187" t="s">
        <v>135</v>
      </c>
      <c r="M10" s="182" t="str">
        <f>데이터입력!$AB$8</f>
        <v>00</v>
      </c>
      <c r="N10" s="185" t="str">
        <f>데이터입력!$AC$9</f>
        <v>일반사업[일반]</v>
      </c>
      <c r="O10" s="183" t="str">
        <f>IFERROR(VLOOKUP($A10,#REF!,4,FALSE),"")</f>
        <v/>
      </c>
      <c r="P10" s="183" t="str">
        <f>IFERROR(VLOOKUP($A10,#REF!,5,FALSE),"")</f>
        <v/>
      </c>
      <c r="Q10" s="789" t="str">
        <f>IFERROR(VLOOKUP($A10,#REF!,6,FALSE),"")</f>
        <v/>
      </c>
      <c r="R10" s="183" t="str">
        <f>IFERROR(VLOOKUP($A10,#REF!,7,FALSE),"")</f>
        <v/>
      </c>
      <c r="S10" s="183"/>
      <c r="T10" s="184" t="str">
        <f>IFERROR(VLOOKUP($A10,#REF!,9,FALSE),"")</f>
        <v/>
      </c>
      <c r="U10" s="184" t="str">
        <f>IFERROR(VLOOKUP($A10,#REF!,10,FALSE),"")</f>
        <v/>
      </c>
      <c r="V10" s="184" t="str">
        <f>IFERROR(VLOOKUP($A10,#REF!,11,FALSE),"")</f>
        <v/>
      </c>
      <c r="W10" s="184" t="str">
        <f>IFERROR(VLOOKUP($A10,#REF!,12,FALSE),"")</f>
        <v/>
      </c>
      <c r="X10" s="184" t="str">
        <f>IFERROR(VLOOKUP($A10,#REF!,13,FALSE),"")</f>
        <v/>
      </c>
    </row>
    <row r="11" spans="1:24" ht="24">
      <c r="A11" s="172">
        <v>9</v>
      </c>
      <c r="B11" s="180" t="str">
        <f>IFERROR(IF(F11="06",데이터입력!$AB$8,IF(F11="07",데이터입력!$AD$8,IF(F11="05",데이터입력!$AF$8,데이터입력!$AB$8))),데이터입력!$AB$8)</f>
        <v>00</v>
      </c>
      <c r="C11" s="584" t="str">
        <f>데이터입력!$AC$9</f>
        <v>일반사업[일반]</v>
      </c>
      <c r="D11" s="185">
        <f>IFERROR(VLOOKUP($A11,데이터입력!$A:$H,4,FALSE),"")</f>
        <v>410010201</v>
      </c>
      <c r="E11" s="185" t="str">
        <f>IFERROR(VLOOKUP($A11,데이터입력!$A:$H,2,FALSE),"")</f>
        <v>기타예금이자수입</v>
      </c>
      <c r="F11" s="185" t="str">
        <f>IFERROR(VLOOKUP($A11,데이터입력!$A:$H,5,FALSE),"")</f>
        <v>06</v>
      </c>
      <c r="G11" s="185" t="str">
        <f>IFERROR(VLOOKUP($A11,데이터입력!$A:$H,6,FALSE),"")</f>
        <v>수익사업</v>
      </c>
      <c r="H11" s="186">
        <f>IFERROR(VLOOKUP($A11,데이터입력!$A:$L,8,FALSE)+VLOOKUP($A11,데이터입력!$A:$L,9,FALSE)+VLOOKUP($A11,데이터입력!$A:$L,10,FALSE),"")</f>
        <v>60000</v>
      </c>
      <c r="I11" s="181" t="s">
        <v>135</v>
      </c>
      <c r="J11" s="181" t="s">
        <v>135</v>
      </c>
      <c r="K11" s="181" t="s">
        <v>135</v>
      </c>
      <c r="M11" s="182" t="str">
        <f>데이터입력!$AB$8</f>
        <v>00</v>
      </c>
      <c r="N11" s="185" t="str">
        <f>데이터입력!$AC$9</f>
        <v>일반사업[일반]</v>
      </c>
      <c r="O11" s="183" t="str">
        <f>IFERROR(VLOOKUP($A11,#REF!,4,FALSE),"")</f>
        <v/>
      </c>
      <c r="P11" s="183" t="str">
        <f>IFERROR(VLOOKUP($A11,#REF!,5,FALSE),"")</f>
        <v/>
      </c>
      <c r="Q11" s="789" t="str">
        <f>IFERROR(VLOOKUP($A11,#REF!,6,FALSE),"")</f>
        <v/>
      </c>
      <c r="R11" s="183" t="str">
        <f>IFERROR(VLOOKUP($A11,#REF!,7,FALSE),"")</f>
        <v/>
      </c>
      <c r="S11" s="183"/>
      <c r="T11" s="184" t="str">
        <f>IFERROR(VLOOKUP($A11,#REF!,9,FALSE),"")</f>
        <v/>
      </c>
      <c r="U11" s="184" t="str">
        <f>IFERROR(VLOOKUP($A11,#REF!,10,FALSE),"")</f>
        <v/>
      </c>
      <c r="V11" s="184" t="str">
        <f>IFERROR(VLOOKUP($A11,#REF!,11,FALSE),"")</f>
        <v/>
      </c>
      <c r="W11" s="184" t="str">
        <f>IFERROR(VLOOKUP($A11,#REF!,12,FALSE),"")</f>
        <v/>
      </c>
      <c r="X11" s="184" t="str">
        <f>IFERROR(VLOOKUP($A11,#REF!,13,FALSE),"")</f>
        <v/>
      </c>
    </row>
    <row r="12" spans="1:24" ht="24">
      <c r="A12" s="172">
        <v>10</v>
      </c>
      <c r="B12" s="180" t="str">
        <f>IFERROR(IF(F12="06",데이터입력!$AB$8,IF(F12="07",데이터입력!$AD$8,IF(F12="05",데이터입력!$AF$8,데이터입력!$AB$8))),데이터입력!$AB$8)</f>
        <v>00</v>
      </c>
      <c r="C12" s="584" t="str">
        <f>데이터입력!$AC$9</f>
        <v>일반사업[일반]</v>
      </c>
      <c r="D12" s="185">
        <f>IFERROR(VLOOKUP($A12,데이터입력!$A:$H,4,FALSE),"")</f>
        <v>410010401</v>
      </c>
      <c r="E12" s="185" t="str">
        <f>IFERROR(VLOOKUP($A12,데이터입력!$A:$H,2,FALSE),"")</f>
        <v>기타잡수입</v>
      </c>
      <c r="F12" s="185" t="str">
        <f>IFERROR(VLOOKUP($A12,데이터입력!$A:$H,5,FALSE),"")</f>
        <v>06</v>
      </c>
      <c r="G12" s="185" t="str">
        <f>IFERROR(VLOOKUP($A12,데이터입력!$A:$H,6,FALSE),"")</f>
        <v>수익사업</v>
      </c>
      <c r="H12" s="186">
        <f>IFERROR(VLOOKUP($A12,데이터입력!$A:$L,8,FALSE)+VLOOKUP($A12,데이터입력!$A:$L,9,FALSE)+VLOOKUP($A12,데이터입력!$A:$L,10,FALSE),"")</f>
        <v>12000000</v>
      </c>
      <c r="I12" s="187" t="s">
        <v>135</v>
      </c>
      <c r="J12" s="187" t="s">
        <v>135</v>
      </c>
      <c r="K12" s="187" t="s">
        <v>135</v>
      </c>
      <c r="M12" s="182" t="str">
        <f>데이터입력!$AB$8</f>
        <v>00</v>
      </c>
      <c r="N12" s="185" t="str">
        <f>데이터입력!$AC$9</f>
        <v>일반사업[일반]</v>
      </c>
      <c r="O12" s="183" t="str">
        <f>IFERROR(VLOOKUP($A12,#REF!,4,FALSE),"")</f>
        <v/>
      </c>
      <c r="P12" s="183" t="str">
        <f>IFERROR(VLOOKUP($A12,#REF!,5,FALSE),"")</f>
        <v/>
      </c>
      <c r="Q12" s="789" t="str">
        <f>IFERROR(VLOOKUP($A12,#REF!,6,FALSE),"")</f>
        <v/>
      </c>
      <c r="R12" s="183" t="str">
        <f>IFERROR(VLOOKUP($A12,#REF!,7,FALSE),"")</f>
        <v/>
      </c>
      <c r="S12" s="183"/>
      <c r="T12" s="184" t="str">
        <f>IFERROR(VLOOKUP($A12,#REF!,9,FALSE),"")</f>
        <v/>
      </c>
      <c r="U12" s="184" t="str">
        <f>IFERROR(VLOOKUP($A12,#REF!,10,FALSE),"")</f>
        <v/>
      </c>
      <c r="V12" s="184" t="str">
        <f>IFERROR(VLOOKUP($A12,#REF!,11,FALSE),"")</f>
        <v/>
      </c>
      <c r="W12" s="184" t="str">
        <f>IFERROR(VLOOKUP($A12,#REF!,12,FALSE),"")</f>
        <v/>
      </c>
      <c r="X12" s="184" t="str">
        <f>IFERROR(VLOOKUP($A12,#REF!,13,FALSE),"")</f>
        <v/>
      </c>
    </row>
    <row r="13" spans="1:24" ht="24">
      <c r="A13" s="172">
        <v>11</v>
      </c>
      <c r="B13" s="180" t="str">
        <f>IFERROR(IF(F13="06",데이터입력!$AB$8,IF(F13="07",데이터입력!$AD$8,IF(F13="05",데이터입력!$AF$8,데이터입력!$AB$8))),데이터입력!$AB$8)</f>
        <v>01</v>
      </c>
      <c r="C13" s="584" t="str">
        <f>데이터입력!$AC$9</f>
        <v>일반사업[일반]</v>
      </c>
      <c r="D13" s="185">
        <f>IFERROR(VLOOKUP($A13,데이터입력!$A:$H,4,FALSE),"")</f>
        <v>404010301</v>
      </c>
      <c r="E13" s="185" t="str">
        <f>IFERROR(VLOOKUP($A13,데이터입력!$A:$H,2,FALSE),"")</f>
        <v>시군구보조금</v>
      </c>
      <c r="F13" s="185" t="str">
        <f>IFERROR(VLOOKUP($A13,데이터입력!$A:$H,5,FALSE),"")</f>
        <v>07</v>
      </c>
      <c r="G13" s="185" t="str">
        <f>IFERROR(VLOOKUP($A13,데이터입력!$A:$H,6,FALSE),"")</f>
        <v>보조금</v>
      </c>
      <c r="H13" s="186">
        <f>IFERROR(VLOOKUP($A13,데이터입력!$A:$L,8,FALSE)+VLOOKUP($A13,데이터입력!$A:$L,9,FALSE)+VLOOKUP($A13,데이터입력!$A:$L,10,FALSE),"")</f>
        <v>59280000</v>
      </c>
      <c r="I13" s="181" t="s">
        <v>135</v>
      </c>
      <c r="J13" s="181" t="s">
        <v>135</v>
      </c>
      <c r="K13" s="181" t="s">
        <v>135</v>
      </c>
      <c r="M13" s="182" t="str">
        <f>데이터입력!$AB$8</f>
        <v>00</v>
      </c>
      <c r="N13" s="185" t="str">
        <f>데이터입력!$AC$9</f>
        <v>일반사업[일반]</v>
      </c>
      <c r="O13" s="183" t="str">
        <f>IFERROR(VLOOKUP($A13,#REF!,4,FALSE),"")</f>
        <v/>
      </c>
      <c r="P13" s="183" t="str">
        <f>IFERROR(VLOOKUP($A13,#REF!,5,FALSE),"")</f>
        <v/>
      </c>
      <c r="Q13" s="789" t="str">
        <f>IFERROR(VLOOKUP($A13,#REF!,6,FALSE),"")</f>
        <v/>
      </c>
      <c r="R13" s="183" t="str">
        <f>IFERROR(VLOOKUP($A13,#REF!,7,FALSE),"")</f>
        <v/>
      </c>
      <c r="S13" s="183"/>
      <c r="T13" s="184" t="str">
        <f>IFERROR(VLOOKUP($A13,#REF!,9,FALSE),"")</f>
        <v/>
      </c>
      <c r="U13" s="184" t="str">
        <f>IFERROR(VLOOKUP($A13,#REF!,10,FALSE),"")</f>
        <v/>
      </c>
      <c r="V13" s="184" t="str">
        <f>IFERROR(VLOOKUP($A13,#REF!,11,FALSE),"")</f>
        <v/>
      </c>
      <c r="W13" s="184" t="str">
        <f>IFERROR(VLOOKUP($A13,#REF!,12,FALSE),"")</f>
        <v/>
      </c>
      <c r="X13" s="184" t="str">
        <f>IFERROR(VLOOKUP($A13,#REF!,13,FALSE),"")</f>
        <v/>
      </c>
    </row>
    <row r="14" spans="1:24" ht="24">
      <c r="A14" s="172">
        <v>12</v>
      </c>
      <c r="B14" s="180" t="str">
        <f>IFERROR(IF(F14="06",데이터입력!$AB$8,IF(F14="07",데이터입력!$AD$8,IF(F14="05",데이터입력!$AF$8,데이터입력!$AB$8))),데이터입력!$AB$8)</f>
        <v>01</v>
      </c>
      <c r="C14" s="584" t="str">
        <f>데이터입력!$AC$9</f>
        <v>일반사업[일반]</v>
      </c>
      <c r="D14" s="185">
        <f>IFERROR(VLOOKUP($A14,데이터입력!$A:$H,4,FALSE),"")</f>
        <v>410010201</v>
      </c>
      <c r="E14" s="185" t="str">
        <f>IFERROR(VLOOKUP($A14,데이터입력!$A:$H,2,FALSE),"")</f>
        <v>기타예금이자수입</v>
      </c>
      <c r="F14" s="185" t="str">
        <f>IFERROR(VLOOKUP($A14,데이터입력!$A:$H,5,FALSE),"")</f>
        <v>07</v>
      </c>
      <c r="G14" s="185" t="str">
        <f>IFERROR(VLOOKUP($A14,데이터입력!$A:$H,6,FALSE),"")</f>
        <v>보조금</v>
      </c>
      <c r="H14" s="186">
        <f>IFERROR(VLOOKUP($A14,데이터입력!$A:$L,8,FALSE)+VLOOKUP($A14,데이터입력!$A:$L,9,FALSE)+VLOOKUP($A14,데이터입력!$A:$L,10,FALSE),"")</f>
        <v>10000</v>
      </c>
      <c r="I14" s="187" t="s">
        <v>135</v>
      </c>
      <c r="J14" s="187" t="s">
        <v>135</v>
      </c>
      <c r="K14" s="187" t="s">
        <v>135</v>
      </c>
      <c r="L14" s="188"/>
      <c r="M14" s="182" t="str">
        <f>데이터입력!$AB$8</f>
        <v>00</v>
      </c>
      <c r="N14" s="185" t="str">
        <f>데이터입력!$AC$9</f>
        <v>일반사업[일반]</v>
      </c>
      <c r="O14" s="183" t="str">
        <f>IFERROR(VLOOKUP($A14,#REF!,4,FALSE),"")</f>
        <v/>
      </c>
      <c r="P14" s="183" t="str">
        <f>IFERROR(VLOOKUP($A14,#REF!,5,FALSE),"")</f>
        <v/>
      </c>
      <c r="Q14" s="789" t="str">
        <f>IFERROR(VLOOKUP($A14,#REF!,6,FALSE),"")</f>
        <v/>
      </c>
      <c r="R14" s="183" t="str">
        <f>IFERROR(VLOOKUP($A14,#REF!,7,FALSE),"")</f>
        <v/>
      </c>
      <c r="S14" s="183"/>
      <c r="T14" s="184" t="str">
        <f>IFERROR(VLOOKUP($A14,#REF!,9,FALSE),"")</f>
        <v/>
      </c>
      <c r="U14" s="184" t="str">
        <f>IFERROR(VLOOKUP($A14,#REF!,10,FALSE),"")</f>
        <v/>
      </c>
      <c r="V14" s="184" t="str">
        <f>IFERROR(VLOOKUP($A14,#REF!,11,FALSE),"")</f>
        <v/>
      </c>
      <c r="W14" s="184" t="str">
        <f>IFERROR(VLOOKUP($A14,#REF!,12,FALSE),"")</f>
        <v/>
      </c>
      <c r="X14" s="184" t="str">
        <f>IFERROR(VLOOKUP($A14,#REF!,13,FALSE),"")</f>
        <v/>
      </c>
    </row>
    <row r="15" spans="1:24" ht="24">
      <c r="A15" s="172">
        <v>13</v>
      </c>
      <c r="B15" s="180" t="str">
        <f>IFERROR(IF(F15="06",데이터입력!$AB$8,IF(F15="07",데이터입력!$AD$8,IF(F15="05",데이터입력!$AF$8,데이터입력!$AB$8))),데이터입력!$AB$8)</f>
        <v>00</v>
      </c>
      <c r="C15" s="584" t="str">
        <f>데이터입력!$AC$9</f>
        <v>일반사업[일반]</v>
      </c>
      <c r="D15" s="185">
        <f>IFERROR(VLOOKUP($A15,데이터입력!$A:$H,4,FALSE),"")</f>
        <v>501020101</v>
      </c>
      <c r="E15" s="185" t="str">
        <f>IFERROR(VLOOKUP($A15,데이터입력!$A:$H,2,FALSE),"")</f>
        <v>기관운영비</v>
      </c>
      <c r="F15" s="185" t="str">
        <f>IFERROR(VLOOKUP($A15,데이터입력!$A:$H,5,FALSE),"")</f>
        <v>06</v>
      </c>
      <c r="G15" s="185" t="str">
        <f>IFERROR(VLOOKUP($A15,데이터입력!$A:$H,6,FALSE),"")</f>
        <v>수익사업</v>
      </c>
      <c r="H15" s="186">
        <f>IFERROR(VLOOKUP($A15,데이터입력!$A:$L,8,FALSE)+VLOOKUP($A15,데이터입력!$A:$L,9,FALSE)+VLOOKUP($A15,데이터입력!$A:$L,10,FALSE),"")</f>
        <v>6000000</v>
      </c>
      <c r="I15" s="181" t="s">
        <v>135</v>
      </c>
      <c r="J15" s="181" t="s">
        <v>135</v>
      </c>
      <c r="K15" s="181" t="s">
        <v>135</v>
      </c>
      <c r="L15" s="188"/>
      <c r="M15" s="182" t="str">
        <f>데이터입력!$AB$8</f>
        <v>00</v>
      </c>
      <c r="N15" s="185" t="str">
        <f>데이터입력!$AC$9</f>
        <v>일반사업[일반]</v>
      </c>
      <c r="O15" s="183" t="str">
        <f>IFERROR(VLOOKUP($A15,#REF!,4,FALSE),"")</f>
        <v/>
      </c>
      <c r="P15" s="183" t="str">
        <f>IFERROR(VLOOKUP($A15,#REF!,5,FALSE),"")</f>
        <v/>
      </c>
      <c r="Q15" s="789" t="str">
        <f>IFERROR(VLOOKUP($A15,#REF!,6,FALSE),"")</f>
        <v/>
      </c>
      <c r="R15" s="183" t="str">
        <f>IFERROR(VLOOKUP($A15,#REF!,7,FALSE),"")</f>
        <v/>
      </c>
      <c r="S15" s="183"/>
      <c r="T15" s="184" t="str">
        <f>IFERROR(VLOOKUP($A15,#REF!,9,FALSE),"")</f>
        <v/>
      </c>
      <c r="U15" s="184" t="str">
        <f>IFERROR(VLOOKUP($A15,#REF!,10,FALSE),"")</f>
        <v/>
      </c>
      <c r="V15" s="184" t="str">
        <f>IFERROR(VLOOKUP($A15,#REF!,11,FALSE),"")</f>
        <v/>
      </c>
      <c r="W15" s="184" t="str">
        <f>IFERROR(VLOOKUP($A15,#REF!,12,FALSE),"")</f>
        <v/>
      </c>
      <c r="X15" s="184" t="str">
        <f>IFERROR(VLOOKUP($A15,#REF!,13,FALSE),"")</f>
        <v/>
      </c>
    </row>
    <row r="16" spans="1:24" ht="24">
      <c r="A16" s="172">
        <v>14</v>
      </c>
      <c r="B16" s="180" t="str">
        <f>IFERROR(IF(F16="06",데이터입력!$AB$8,IF(F16="07",데이터입력!$AD$8,IF(F16="05",데이터입력!$AF$8,데이터입력!$AB$8))),데이터입력!$AB$8)</f>
        <v>00</v>
      </c>
      <c r="C16" s="584" t="str">
        <f>데이터입력!$AC$9</f>
        <v>일반사업[일반]</v>
      </c>
      <c r="D16" s="185">
        <f>IFERROR(VLOOKUP($A16,데이터입력!$A:$H,4,FALSE),"")</f>
        <v>501020201</v>
      </c>
      <c r="E16" s="185" t="str">
        <f>IFERROR(VLOOKUP($A16,데이터입력!$A:$H,2,FALSE),"")</f>
        <v>직책보조비</v>
      </c>
      <c r="F16" s="185" t="str">
        <f>IFERROR(VLOOKUP($A16,데이터입력!$A:$H,5,FALSE),"")</f>
        <v>06</v>
      </c>
      <c r="G16" s="185" t="str">
        <f>IFERROR(VLOOKUP($A16,데이터입력!$A:$H,6,FALSE),"")</f>
        <v>수익사업</v>
      </c>
      <c r="H16" s="186">
        <f>IFERROR(VLOOKUP($A16,데이터입력!$A:$L,8,FALSE)+VLOOKUP($A16,데이터입력!$A:$L,9,FALSE)+VLOOKUP($A16,데이터입력!$A:$L,10,FALSE),"")</f>
        <v>12000000</v>
      </c>
      <c r="I16" s="187" t="s">
        <v>135</v>
      </c>
      <c r="J16" s="187" t="s">
        <v>135</v>
      </c>
      <c r="K16" s="187" t="s">
        <v>135</v>
      </c>
      <c r="L16" s="188"/>
      <c r="M16" s="182" t="str">
        <f>데이터입력!$AB$8</f>
        <v>00</v>
      </c>
      <c r="N16" s="185" t="str">
        <f>데이터입력!$AC$9</f>
        <v>일반사업[일반]</v>
      </c>
      <c r="O16" s="183" t="str">
        <f>IFERROR(VLOOKUP($A16,#REF!,4,FALSE),"")</f>
        <v/>
      </c>
      <c r="P16" s="183" t="str">
        <f>IFERROR(VLOOKUP($A16,#REF!,5,FALSE),"")</f>
        <v/>
      </c>
      <c r="Q16" s="789" t="str">
        <f>IFERROR(VLOOKUP($A16,#REF!,6,FALSE),"")</f>
        <v/>
      </c>
      <c r="R16" s="183" t="str">
        <f>IFERROR(VLOOKUP($A16,#REF!,7,FALSE),"")</f>
        <v/>
      </c>
      <c r="S16" s="183"/>
      <c r="T16" s="184" t="str">
        <f>IFERROR(VLOOKUP($A16,#REF!,9,FALSE),"")</f>
        <v/>
      </c>
      <c r="U16" s="184" t="str">
        <f>IFERROR(VLOOKUP($A16,#REF!,10,FALSE),"")</f>
        <v/>
      </c>
      <c r="V16" s="184" t="str">
        <f>IFERROR(VLOOKUP($A16,#REF!,11,FALSE),"")</f>
        <v/>
      </c>
      <c r="W16" s="184" t="str">
        <f>IFERROR(VLOOKUP($A16,#REF!,12,FALSE),"")</f>
        <v/>
      </c>
      <c r="X16" s="184" t="str">
        <f>IFERROR(VLOOKUP($A16,#REF!,13,FALSE),"")</f>
        <v/>
      </c>
    </row>
    <row r="17" spans="1:24" ht="24">
      <c r="A17" s="172">
        <v>15</v>
      </c>
      <c r="B17" s="180" t="str">
        <f>IFERROR(IF(F17="06",데이터입력!$AB$8,IF(F17="07",데이터입력!$AD$8,IF(F17="05",데이터입력!$AF$8,데이터입력!$AB$8))),데이터입력!$AB$8)</f>
        <v>00</v>
      </c>
      <c r="C17" s="584" t="str">
        <f>데이터입력!$AC$9</f>
        <v>일반사업[일반]</v>
      </c>
      <c r="D17" s="185">
        <f>IFERROR(VLOOKUP($A17,데이터입력!$A:$H,4,FALSE),"")</f>
        <v>501020301</v>
      </c>
      <c r="E17" s="185" t="str">
        <f>IFERROR(VLOOKUP($A17,데이터입력!$A:$H,2,FALSE),"")</f>
        <v>회의비</v>
      </c>
      <c r="F17" s="185" t="str">
        <f>IFERROR(VLOOKUP($A17,데이터입력!$A:$H,5,FALSE),"")</f>
        <v>06</v>
      </c>
      <c r="G17" s="185" t="str">
        <f>IFERROR(VLOOKUP($A17,데이터입력!$A:$H,6,FALSE),"")</f>
        <v>수익사업</v>
      </c>
      <c r="H17" s="186">
        <f>IFERROR(VLOOKUP($A17,데이터입력!$A:$L,8,FALSE)+VLOOKUP($A17,데이터입력!$A:$L,9,FALSE)+VLOOKUP($A17,데이터입력!$A:$L,10,FALSE),"")</f>
        <v>756000</v>
      </c>
      <c r="I17" s="181" t="s">
        <v>135</v>
      </c>
      <c r="J17" s="181" t="s">
        <v>135</v>
      </c>
      <c r="K17" s="181" t="s">
        <v>135</v>
      </c>
      <c r="M17" s="182" t="str">
        <f>데이터입력!$AB$8</f>
        <v>00</v>
      </c>
      <c r="N17" s="185" t="str">
        <f>데이터입력!$AC$9</f>
        <v>일반사업[일반]</v>
      </c>
      <c r="O17" s="183" t="str">
        <f>IFERROR(VLOOKUP($A17,#REF!,4,FALSE),"")</f>
        <v/>
      </c>
      <c r="P17" s="183" t="str">
        <f>IFERROR(VLOOKUP($A17,#REF!,5,FALSE),"")</f>
        <v/>
      </c>
      <c r="Q17" s="789" t="str">
        <f>IFERROR(VLOOKUP($A17,#REF!,6,FALSE),"")</f>
        <v/>
      </c>
      <c r="R17" s="183" t="str">
        <f>IFERROR(VLOOKUP($A17,#REF!,7,FALSE),"")</f>
        <v/>
      </c>
      <c r="S17" s="183"/>
      <c r="T17" s="184" t="str">
        <f>IFERROR(VLOOKUP($A17,#REF!,9,FALSE),"")</f>
        <v/>
      </c>
      <c r="U17" s="184" t="str">
        <f>IFERROR(VLOOKUP($A17,#REF!,10,FALSE),"")</f>
        <v/>
      </c>
      <c r="V17" s="184" t="str">
        <f>IFERROR(VLOOKUP($A17,#REF!,11,FALSE),"")</f>
        <v/>
      </c>
      <c r="W17" s="184" t="str">
        <f>IFERROR(VLOOKUP($A17,#REF!,12,FALSE),"")</f>
        <v/>
      </c>
      <c r="X17" s="184" t="str">
        <f>IFERROR(VLOOKUP($A17,#REF!,13,FALSE),"")</f>
        <v/>
      </c>
    </row>
    <row r="18" spans="1:24" ht="24">
      <c r="A18" s="172">
        <v>16</v>
      </c>
      <c r="B18" s="180" t="str">
        <f>IFERROR(IF(F18="06",데이터입력!$AB$8,IF(F18="07",데이터입력!$AD$8,IF(F18="05",데이터입력!$AF$8,데이터입력!$AB$8))),데이터입력!$AB$8)</f>
        <v>00</v>
      </c>
      <c r="C18" s="584" t="str">
        <f>데이터입력!$AC$9</f>
        <v>일반사업[일반]</v>
      </c>
      <c r="D18" s="185">
        <f>IFERROR(VLOOKUP($A18,데이터입력!$A:$H,4,FALSE),"")</f>
        <v>501030101</v>
      </c>
      <c r="E18" s="185" t="str">
        <f>IFERROR(VLOOKUP($A18,데이터입력!$A:$H,2,FALSE),"")</f>
        <v>여비</v>
      </c>
      <c r="F18" s="185" t="str">
        <f>IFERROR(VLOOKUP($A18,데이터입력!$A:$H,5,FALSE),"")</f>
        <v>06</v>
      </c>
      <c r="G18" s="185" t="str">
        <f>IFERROR(VLOOKUP($A18,데이터입력!$A:$H,6,FALSE),"")</f>
        <v>수익사업</v>
      </c>
      <c r="H18" s="186">
        <f>IFERROR(VLOOKUP($A18,데이터입력!$A:$L,8,FALSE)+VLOOKUP($A18,데이터입력!$A:$L,9,FALSE)+VLOOKUP($A18,데이터입력!$A:$L,10,FALSE),"")</f>
        <v>1200000</v>
      </c>
      <c r="I18" s="187" t="s">
        <v>135</v>
      </c>
      <c r="J18" s="187" t="s">
        <v>135</v>
      </c>
      <c r="K18" s="187" t="s">
        <v>135</v>
      </c>
      <c r="M18" s="182" t="str">
        <f>데이터입력!$AB$8</f>
        <v>00</v>
      </c>
      <c r="N18" s="185" t="str">
        <f>데이터입력!$AC$9</f>
        <v>일반사업[일반]</v>
      </c>
      <c r="O18" s="183" t="str">
        <f>IFERROR(VLOOKUP($A18,#REF!,4,FALSE),"")</f>
        <v/>
      </c>
      <c r="P18" s="183" t="str">
        <f>IFERROR(VLOOKUP($A18,#REF!,5,FALSE),"")</f>
        <v/>
      </c>
      <c r="Q18" s="789" t="str">
        <f>IFERROR(VLOOKUP($A18,#REF!,6,FALSE),"")</f>
        <v/>
      </c>
      <c r="R18" s="183" t="str">
        <f>IFERROR(VLOOKUP($A18,#REF!,7,FALSE),"")</f>
        <v/>
      </c>
      <c r="S18" s="183"/>
      <c r="T18" s="184" t="str">
        <f>IFERROR(VLOOKUP($A18,#REF!,9,FALSE),"")</f>
        <v/>
      </c>
      <c r="U18" s="184" t="str">
        <f>IFERROR(VLOOKUP($A18,#REF!,10,FALSE),"")</f>
        <v/>
      </c>
      <c r="V18" s="184" t="str">
        <f>IFERROR(VLOOKUP($A18,#REF!,11,FALSE),"")</f>
        <v/>
      </c>
      <c r="W18" s="184" t="str">
        <f>IFERROR(VLOOKUP($A18,#REF!,12,FALSE),"")</f>
        <v/>
      </c>
      <c r="X18" s="184" t="str">
        <f>IFERROR(VLOOKUP($A18,#REF!,13,FALSE),"")</f>
        <v/>
      </c>
    </row>
    <row r="19" spans="1:24" ht="24">
      <c r="A19" s="172">
        <v>17</v>
      </c>
      <c r="B19" s="180" t="str">
        <f>IFERROR(IF(F19="06",데이터입력!$AB$8,IF(F19="07",데이터입력!$AD$8,IF(F19="05",데이터입력!$AF$8,데이터입력!$AB$8))),데이터입력!$AB$8)</f>
        <v>00</v>
      </c>
      <c r="C19" s="584" t="str">
        <f>데이터입력!$AC$9</f>
        <v>일반사업[일반]</v>
      </c>
      <c r="D19" s="185">
        <f>IFERROR(VLOOKUP($A19,데이터입력!$A:$H,4,FALSE),"")</f>
        <v>501030201</v>
      </c>
      <c r="E19" s="185" t="str">
        <f>IFERROR(VLOOKUP($A19,데이터입력!$A:$H,2,FALSE),"")</f>
        <v>수용비 및 수수료</v>
      </c>
      <c r="F19" s="185" t="str">
        <f>IFERROR(VLOOKUP($A19,데이터입력!$A:$H,5,FALSE),"")</f>
        <v>06</v>
      </c>
      <c r="G19" s="185" t="str">
        <f>IFERROR(VLOOKUP($A19,데이터입력!$A:$H,6,FALSE),"")</f>
        <v>수익사업</v>
      </c>
      <c r="H19" s="186">
        <f>IFERROR(VLOOKUP($A19,데이터입력!$A:$L,8,FALSE)+VLOOKUP($A19,데이터입력!$A:$L,9,FALSE)+VLOOKUP($A19,데이터입력!$A:$L,10,FALSE),"")</f>
        <v>66000000</v>
      </c>
      <c r="I19" s="181" t="s">
        <v>135</v>
      </c>
      <c r="J19" s="181" t="s">
        <v>135</v>
      </c>
      <c r="K19" s="181" t="s">
        <v>135</v>
      </c>
      <c r="M19" s="182" t="str">
        <f>데이터입력!$AB$8</f>
        <v>00</v>
      </c>
      <c r="N19" s="185" t="str">
        <f>데이터입력!$AC$9</f>
        <v>일반사업[일반]</v>
      </c>
      <c r="O19" s="183" t="str">
        <f>IFERROR(VLOOKUP($A19,#REF!,4,FALSE),"")</f>
        <v/>
      </c>
      <c r="P19" s="183" t="str">
        <f>IFERROR(VLOOKUP($A19,#REF!,5,FALSE),"")</f>
        <v/>
      </c>
      <c r="Q19" s="789" t="str">
        <f>IFERROR(VLOOKUP($A19,#REF!,6,FALSE),"")</f>
        <v/>
      </c>
      <c r="R19" s="183" t="str">
        <f>IFERROR(VLOOKUP($A19,#REF!,7,FALSE),"")</f>
        <v/>
      </c>
      <c r="S19" s="183"/>
      <c r="T19" s="184" t="str">
        <f>IFERROR(VLOOKUP($A19,#REF!,9,FALSE),"")</f>
        <v/>
      </c>
      <c r="U19" s="184" t="str">
        <f>IFERROR(VLOOKUP($A19,#REF!,10,FALSE),"")</f>
        <v/>
      </c>
      <c r="V19" s="184" t="str">
        <f>IFERROR(VLOOKUP($A19,#REF!,11,FALSE),"")</f>
        <v/>
      </c>
      <c r="W19" s="184" t="str">
        <f>IFERROR(VLOOKUP($A19,#REF!,12,FALSE),"")</f>
        <v/>
      </c>
      <c r="X19" s="184" t="str">
        <f>IFERROR(VLOOKUP($A19,#REF!,13,FALSE),"")</f>
        <v/>
      </c>
    </row>
    <row r="20" spans="1:24" ht="24">
      <c r="A20" s="172">
        <v>18</v>
      </c>
      <c r="B20" s="180" t="str">
        <f>IFERROR(IF(F20="06",데이터입력!$AB$8,IF(F20="07",데이터입력!$AD$8,IF(F20="05",데이터입력!$AF$8,데이터입력!$AB$8))),데이터입력!$AB$8)</f>
        <v>00</v>
      </c>
      <c r="C20" s="584" t="str">
        <f>데이터입력!$AC$9</f>
        <v>일반사업[일반]</v>
      </c>
      <c r="D20" s="185">
        <f>IFERROR(VLOOKUP($A20,데이터입력!$A:$H,4,FALSE),"")</f>
        <v>501030301</v>
      </c>
      <c r="E20" s="185" t="str">
        <f>IFERROR(VLOOKUP($A20,데이터입력!$A:$H,2,FALSE),"")</f>
        <v>공공요금 및 각종 세금공과금</v>
      </c>
      <c r="F20" s="185" t="str">
        <f>IFERROR(VLOOKUP($A20,데이터입력!$A:$H,5,FALSE),"")</f>
        <v>06</v>
      </c>
      <c r="G20" s="185" t="str">
        <f>IFERROR(VLOOKUP($A20,데이터입력!$A:$H,6,FALSE),"")</f>
        <v>수익사업</v>
      </c>
      <c r="H20" s="186">
        <f>IFERROR(VLOOKUP($A20,데이터입력!$A:$L,8,FALSE)+VLOOKUP($A20,데이터입력!$A:$L,9,FALSE)+VLOOKUP($A20,데이터입력!$A:$L,10,FALSE),"")</f>
        <v>90000000</v>
      </c>
      <c r="I20" s="187" t="s">
        <v>135</v>
      </c>
      <c r="J20" s="187" t="s">
        <v>135</v>
      </c>
      <c r="K20" s="187" t="s">
        <v>135</v>
      </c>
      <c r="M20" s="182" t="str">
        <f>데이터입력!$AB$8</f>
        <v>00</v>
      </c>
      <c r="N20" s="185" t="str">
        <f>데이터입력!$AC$9</f>
        <v>일반사업[일반]</v>
      </c>
      <c r="O20" s="183" t="str">
        <f>IFERROR(VLOOKUP($A20,#REF!,4,FALSE),"")</f>
        <v/>
      </c>
      <c r="P20" s="183" t="str">
        <f>IFERROR(VLOOKUP($A20,#REF!,5,FALSE),"")</f>
        <v/>
      </c>
      <c r="Q20" s="789" t="str">
        <f>IFERROR(VLOOKUP($A20,#REF!,6,FALSE),"")</f>
        <v/>
      </c>
      <c r="R20" s="183" t="str">
        <f>IFERROR(VLOOKUP($A20,#REF!,7,FALSE),"")</f>
        <v/>
      </c>
      <c r="S20" s="183"/>
      <c r="T20" s="184" t="str">
        <f>IFERROR(VLOOKUP($A20,#REF!,9,FALSE),"")</f>
        <v/>
      </c>
      <c r="U20" s="184" t="str">
        <f>IFERROR(VLOOKUP($A20,#REF!,10,FALSE),"")</f>
        <v/>
      </c>
      <c r="V20" s="184" t="str">
        <f>IFERROR(VLOOKUP($A20,#REF!,11,FALSE),"")</f>
        <v/>
      </c>
      <c r="W20" s="184" t="str">
        <f>IFERROR(VLOOKUP($A20,#REF!,12,FALSE),"")</f>
        <v/>
      </c>
      <c r="X20" s="184" t="str">
        <f>IFERROR(VLOOKUP($A20,#REF!,13,FALSE),"")</f>
        <v/>
      </c>
    </row>
    <row r="21" spans="1:24" ht="24">
      <c r="A21" s="172">
        <v>19</v>
      </c>
      <c r="B21" s="180" t="str">
        <f>IFERROR(IF(F21="06",데이터입력!$AB$8,IF(F21="07",데이터입력!$AD$8,IF(F21="05",데이터입력!$AF$8,데이터입력!$AB$8))),데이터입력!$AB$8)</f>
        <v>00</v>
      </c>
      <c r="C21" s="584" t="str">
        <f>데이터입력!$AC$9</f>
        <v>일반사업[일반]</v>
      </c>
      <c r="D21" s="185">
        <f>IFERROR(VLOOKUP($A21,데이터입력!$A:$H,4,FALSE),"")</f>
        <v>501030501</v>
      </c>
      <c r="E21" s="185" t="str">
        <f>IFERROR(VLOOKUP($A21,데이터입력!$A:$H,2,FALSE),"")</f>
        <v>차량비</v>
      </c>
      <c r="F21" s="185" t="str">
        <f>IFERROR(VLOOKUP($A21,데이터입력!$A:$H,5,FALSE),"")</f>
        <v>06</v>
      </c>
      <c r="G21" s="185" t="str">
        <f>IFERROR(VLOOKUP($A21,데이터입력!$A:$H,6,FALSE),"")</f>
        <v>수익사업</v>
      </c>
      <c r="H21" s="186">
        <f>IFERROR(VLOOKUP($A21,데이터입력!$A:$L,8,FALSE)+VLOOKUP($A21,데이터입력!$A:$L,9,FALSE)+VLOOKUP($A21,데이터입력!$A:$L,10,FALSE),"")</f>
        <v>7200000</v>
      </c>
      <c r="I21" s="181" t="s">
        <v>135</v>
      </c>
      <c r="J21" s="181" t="s">
        <v>135</v>
      </c>
      <c r="K21" s="181" t="s">
        <v>135</v>
      </c>
      <c r="M21" s="182" t="str">
        <f>데이터입력!$AB$8</f>
        <v>00</v>
      </c>
      <c r="N21" s="185" t="str">
        <f>데이터입력!$AC$9</f>
        <v>일반사업[일반]</v>
      </c>
      <c r="O21" s="183" t="str">
        <f>IFERROR(VLOOKUP($A21,#REF!,4,FALSE),"")</f>
        <v/>
      </c>
      <c r="P21" s="183" t="str">
        <f>IFERROR(VLOOKUP($A21,#REF!,5,FALSE),"")</f>
        <v/>
      </c>
      <c r="Q21" s="789" t="str">
        <f>IFERROR(VLOOKUP($A21,#REF!,6,FALSE),"")</f>
        <v/>
      </c>
      <c r="R21" s="183" t="str">
        <f>IFERROR(VLOOKUP($A21,#REF!,7,FALSE),"")</f>
        <v/>
      </c>
      <c r="S21" s="183"/>
      <c r="T21" s="184" t="str">
        <f>IFERROR(VLOOKUP($A21,#REF!,9,FALSE),"")</f>
        <v/>
      </c>
      <c r="U21" s="184" t="str">
        <f>IFERROR(VLOOKUP($A21,#REF!,10,FALSE),"")</f>
        <v/>
      </c>
      <c r="V21" s="184" t="str">
        <f>IFERROR(VLOOKUP($A21,#REF!,11,FALSE),"")</f>
        <v/>
      </c>
      <c r="W21" s="184" t="str">
        <f>IFERROR(VLOOKUP($A21,#REF!,12,FALSE),"")</f>
        <v/>
      </c>
      <c r="X21" s="184" t="str">
        <f>IFERROR(VLOOKUP($A21,#REF!,13,FALSE),"")</f>
        <v/>
      </c>
    </row>
    <row r="22" spans="1:24" ht="24">
      <c r="A22" s="172">
        <v>20</v>
      </c>
      <c r="B22" s="180" t="str">
        <f>IFERROR(IF(F22="06",데이터입력!$AB$8,IF(F22="07",데이터입력!$AD$8,IF(F22="05",데이터입력!$AF$8,데이터입력!$AB$8))),데이터입력!$AB$8)</f>
        <v>00</v>
      </c>
      <c r="C22" s="584" t="str">
        <f>데이터입력!$AC$9</f>
        <v>일반사업[일반]</v>
      </c>
      <c r="D22" s="185">
        <f>IFERROR(VLOOKUP($A22,데이터입력!$A:$H,4,FALSE),"")</f>
        <v>501030701</v>
      </c>
      <c r="E22" s="185" t="str">
        <f>IFERROR(VLOOKUP($A22,데이터입력!$A:$H,2,FALSE),"")</f>
        <v>기타운영비</v>
      </c>
      <c r="F22" s="185" t="str">
        <f>IFERROR(VLOOKUP($A22,데이터입력!$A:$H,5,FALSE),"")</f>
        <v>06</v>
      </c>
      <c r="G22" s="185" t="str">
        <f>IFERROR(VLOOKUP($A22,데이터입력!$A:$H,6,FALSE),"")</f>
        <v>수익사업</v>
      </c>
      <c r="H22" s="186">
        <f>IFERROR(VLOOKUP($A22,데이터입력!$A:$L,8,FALSE)+VLOOKUP($A22,데이터입력!$A:$L,9,FALSE)+VLOOKUP($A22,데이터입력!$A:$L,10,FALSE),"")</f>
        <v>24378000</v>
      </c>
      <c r="I22" s="187" t="s">
        <v>135</v>
      </c>
      <c r="J22" s="187" t="s">
        <v>135</v>
      </c>
      <c r="K22" s="187" t="s">
        <v>135</v>
      </c>
      <c r="M22" s="182" t="str">
        <f>데이터입력!$AB$8</f>
        <v>00</v>
      </c>
      <c r="N22" s="185" t="str">
        <f>데이터입력!$AC$9</f>
        <v>일반사업[일반]</v>
      </c>
      <c r="O22" s="183" t="str">
        <f>IFERROR(VLOOKUP($A22,#REF!,4,FALSE),"")</f>
        <v/>
      </c>
      <c r="P22" s="183" t="str">
        <f>IFERROR(VLOOKUP($A22,#REF!,5,FALSE),"")</f>
        <v/>
      </c>
      <c r="Q22" s="789" t="str">
        <f>IFERROR(VLOOKUP($A22,#REF!,6,FALSE),"")</f>
        <v/>
      </c>
      <c r="R22" s="183" t="str">
        <f>IFERROR(VLOOKUP($A22,#REF!,7,FALSE),"")</f>
        <v/>
      </c>
      <c r="S22" s="183"/>
      <c r="T22" s="184" t="str">
        <f>IFERROR(VLOOKUP($A22,#REF!,9,FALSE),"")</f>
        <v/>
      </c>
      <c r="U22" s="184" t="str">
        <f>IFERROR(VLOOKUP($A22,#REF!,10,FALSE),"")</f>
        <v/>
      </c>
      <c r="V22" s="184" t="str">
        <f>IFERROR(VLOOKUP($A22,#REF!,11,FALSE),"")</f>
        <v/>
      </c>
      <c r="W22" s="184" t="str">
        <f>IFERROR(VLOOKUP($A22,#REF!,12,FALSE),"")</f>
        <v/>
      </c>
      <c r="X22" s="184" t="str">
        <f>IFERROR(VLOOKUP($A22,#REF!,13,FALSE),"")</f>
        <v/>
      </c>
    </row>
    <row r="23" spans="1:24" ht="24">
      <c r="A23" s="172">
        <v>21</v>
      </c>
      <c r="B23" s="180" t="str">
        <f>IFERROR(IF(F23="06",데이터입력!$AB$8,IF(F23="07",데이터입력!$AD$8,IF(F23="05",데이터입력!$AF$8,데이터입력!$AB$8))),데이터입력!$AB$8)</f>
        <v>00</v>
      </c>
      <c r="C23" s="584" t="str">
        <f>데이터입력!$AC$9</f>
        <v>일반사업[일반]</v>
      </c>
      <c r="D23" s="185">
        <f>IFERROR(VLOOKUP($A23,데이터입력!$A:$H,4,FALSE),"")</f>
        <v>502010101</v>
      </c>
      <c r="E23" s="185" t="str">
        <f>IFERROR(VLOOKUP($A23,데이터입력!$A:$H,2,FALSE),"")</f>
        <v>시설비</v>
      </c>
      <c r="F23" s="185" t="str">
        <f>IFERROR(VLOOKUP($A23,데이터입력!$A:$H,5,FALSE),"")</f>
        <v>06</v>
      </c>
      <c r="G23" s="185" t="str">
        <f>IFERROR(VLOOKUP($A23,데이터입력!$A:$H,6,FALSE),"")</f>
        <v>수익사업</v>
      </c>
      <c r="H23" s="186">
        <f>IFERROR(VLOOKUP($A23,데이터입력!$A:$L,8,FALSE)+VLOOKUP($A23,데이터입력!$A:$L,9,FALSE)+VLOOKUP($A23,데이터입력!$A:$L,10,FALSE),"")</f>
        <v>30000000</v>
      </c>
      <c r="I23" s="181" t="s">
        <v>135</v>
      </c>
      <c r="J23" s="181" t="s">
        <v>135</v>
      </c>
      <c r="K23" s="181" t="s">
        <v>135</v>
      </c>
      <c r="M23" s="182" t="str">
        <f>데이터입력!$AB$8</f>
        <v>00</v>
      </c>
      <c r="N23" s="185" t="str">
        <f>데이터입력!$AC$9</f>
        <v>일반사업[일반]</v>
      </c>
      <c r="O23" s="183" t="str">
        <f>IFERROR(VLOOKUP($A23,#REF!,4,FALSE),"")</f>
        <v/>
      </c>
      <c r="P23" s="183" t="str">
        <f>IFERROR(VLOOKUP($A23,#REF!,5,FALSE),"")</f>
        <v/>
      </c>
      <c r="Q23" s="789" t="str">
        <f>IFERROR(VLOOKUP($A23,#REF!,6,FALSE),"")</f>
        <v/>
      </c>
      <c r="R23" s="183" t="str">
        <f>IFERROR(VLOOKUP($A23,#REF!,7,FALSE),"")</f>
        <v/>
      </c>
      <c r="S23" s="183"/>
      <c r="T23" s="184" t="str">
        <f>IFERROR(VLOOKUP($A23,#REF!,9,FALSE),"")</f>
        <v/>
      </c>
      <c r="U23" s="184" t="str">
        <f>IFERROR(VLOOKUP($A23,#REF!,10,FALSE),"")</f>
        <v/>
      </c>
      <c r="V23" s="184" t="str">
        <f>IFERROR(VLOOKUP($A23,#REF!,11,FALSE),"")</f>
        <v/>
      </c>
      <c r="W23" s="184" t="str">
        <f>IFERROR(VLOOKUP($A23,#REF!,12,FALSE),"")</f>
        <v/>
      </c>
      <c r="X23" s="184" t="str">
        <f>IFERROR(VLOOKUP($A23,#REF!,13,FALSE),"")</f>
        <v/>
      </c>
    </row>
    <row r="24" spans="1:24" ht="24">
      <c r="A24" s="172">
        <v>22</v>
      </c>
      <c r="B24" s="180" t="str">
        <f>IFERROR(IF(F24="06",데이터입력!$AB$8,IF(F24="07",데이터입력!$AD$8,IF(F24="05",데이터입력!$AF$8,데이터입력!$AB$8))),데이터입력!$AB$8)</f>
        <v>00</v>
      </c>
      <c r="C24" s="584" t="str">
        <f>데이터입력!$AC$9</f>
        <v>일반사업[일반]</v>
      </c>
      <c r="D24" s="185">
        <f>IFERROR(VLOOKUP($A24,데이터입력!$A:$H,4,FALSE),"")</f>
        <v>502010201</v>
      </c>
      <c r="E24" s="185" t="str">
        <f>IFERROR(VLOOKUP($A24,데이터입력!$A:$H,2,FALSE),"")</f>
        <v>자산취득비</v>
      </c>
      <c r="F24" s="185" t="str">
        <f>IFERROR(VLOOKUP($A24,데이터입력!$A:$H,5,FALSE),"")</f>
        <v>06</v>
      </c>
      <c r="G24" s="185" t="str">
        <f>IFERROR(VLOOKUP($A24,데이터입력!$A:$H,6,FALSE),"")</f>
        <v>수익사업</v>
      </c>
      <c r="H24" s="186">
        <f>IFERROR(VLOOKUP($A24,데이터입력!$A:$L,8,FALSE)+VLOOKUP($A24,데이터입력!$A:$L,9,FALSE)+VLOOKUP($A24,데이터입력!$A:$L,10,FALSE),"")</f>
        <v>16200000</v>
      </c>
      <c r="I24" s="187" t="s">
        <v>135</v>
      </c>
      <c r="J24" s="187" t="s">
        <v>135</v>
      </c>
      <c r="K24" s="187" t="s">
        <v>135</v>
      </c>
      <c r="M24" s="182" t="str">
        <f>데이터입력!$AB$8</f>
        <v>00</v>
      </c>
      <c r="N24" s="185" t="str">
        <f>데이터입력!$AC$9</f>
        <v>일반사업[일반]</v>
      </c>
      <c r="O24" s="183" t="str">
        <f>IFERROR(VLOOKUP($A24,#REF!,4,FALSE),"")</f>
        <v/>
      </c>
      <c r="P24" s="183" t="str">
        <f>IFERROR(VLOOKUP($A24,#REF!,5,FALSE),"")</f>
        <v/>
      </c>
      <c r="Q24" s="789" t="str">
        <f>IFERROR(VLOOKUP($A24,#REF!,6,FALSE),"")</f>
        <v/>
      </c>
      <c r="R24" s="183" t="str">
        <f>IFERROR(VLOOKUP($A24,#REF!,7,FALSE),"")</f>
        <v/>
      </c>
      <c r="S24" s="183"/>
      <c r="T24" s="184" t="str">
        <f>IFERROR(VLOOKUP($A24,#REF!,9,FALSE),"")</f>
        <v/>
      </c>
      <c r="U24" s="184" t="str">
        <f>IFERROR(VLOOKUP($A24,#REF!,10,FALSE),"")</f>
        <v/>
      </c>
      <c r="V24" s="184" t="str">
        <f>IFERROR(VLOOKUP($A24,#REF!,11,FALSE),"")</f>
        <v/>
      </c>
      <c r="W24" s="184" t="str">
        <f>IFERROR(VLOOKUP($A24,#REF!,12,FALSE),"")</f>
        <v/>
      </c>
      <c r="X24" s="184" t="str">
        <f>IFERROR(VLOOKUP($A24,#REF!,13,FALSE),"")</f>
        <v/>
      </c>
    </row>
    <row r="25" spans="1:24" ht="24">
      <c r="A25" s="172">
        <v>23</v>
      </c>
      <c r="B25" s="180" t="str">
        <f>IFERROR(IF(F25="06",데이터입력!$AB$8,IF(F25="07",데이터입력!$AD$8,IF(F25="05",데이터입력!$AF$8,데이터입력!$AB$8))),데이터입력!$AB$8)</f>
        <v>00</v>
      </c>
      <c r="C25" s="584" t="str">
        <f>데이터입력!$AC$9</f>
        <v>일반사업[일반]</v>
      </c>
      <c r="D25" s="185">
        <f>IFERROR(VLOOKUP($A25,데이터입력!$A:$H,4,FALSE),"")</f>
        <v>502010301</v>
      </c>
      <c r="E25" s="185" t="str">
        <f>IFERROR(VLOOKUP($A25,데이터입력!$A:$H,2,FALSE),"")</f>
        <v>시설장비유지비</v>
      </c>
      <c r="F25" s="185" t="str">
        <f>IFERROR(VLOOKUP($A25,데이터입력!$A:$H,5,FALSE),"")</f>
        <v>06</v>
      </c>
      <c r="G25" s="185" t="str">
        <f>IFERROR(VLOOKUP($A25,데이터입력!$A:$H,6,FALSE),"")</f>
        <v>수익사업</v>
      </c>
      <c r="H25" s="186">
        <f>IFERROR(VLOOKUP($A25,데이터입력!$A:$L,8,FALSE)+VLOOKUP($A25,데이터입력!$A:$L,9,FALSE)+VLOOKUP($A25,데이터입력!$A:$L,10,FALSE),"")</f>
        <v>16800000</v>
      </c>
      <c r="I25" s="181" t="s">
        <v>135</v>
      </c>
      <c r="J25" s="181" t="s">
        <v>135</v>
      </c>
      <c r="K25" s="181" t="s">
        <v>135</v>
      </c>
      <c r="M25" s="182" t="str">
        <f>데이터입력!$AB$8</f>
        <v>00</v>
      </c>
      <c r="N25" s="185" t="str">
        <f>데이터입력!$AC$9</f>
        <v>일반사업[일반]</v>
      </c>
      <c r="O25" s="183" t="str">
        <f>IFERROR(VLOOKUP($A25,#REF!,4,FALSE),"")</f>
        <v/>
      </c>
      <c r="P25" s="183" t="str">
        <f>IFERROR(VLOOKUP($A25,#REF!,5,FALSE),"")</f>
        <v/>
      </c>
      <c r="Q25" s="789" t="str">
        <f>IFERROR(VLOOKUP($A25,#REF!,6,FALSE),"")</f>
        <v/>
      </c>
      <c r="R25" s="183" t="str">
        <f>IFERROR(VLOOKUP($A25,#REF!,7,FALSE),"")</f>
        <v/>
      </c>
      <c r="S25" s="183"/>
      <c r="T25" s="184" t="str">
        <f>IFERROR(VLOOKUP($A25,#REF!,9,FALSE),"")</f>
        <v/>
      </c>
      <c r="U25" s="184" t="str">
        <f>IFERROR(VLOOKUP($A25,#REF!,10,FALSE),"")</f>
        <v/>
      </c>
      <c r="V25" s="184" t="str">
        <f>IFERROR(VLOOKUP($A25,#REF!,11,FALSE),"")</f>
        <v/>
      </c>
      <c r="W25" s="184" t="str">
        <f>IFERROR(VLOOKUP($A25,#REF!,12,FALSE),"")</f>
        <v/>
      </c>
      <c r="X25" s="184" t="str">
        <f>IFERROR(VLOOKUP($A25,#REF!,13,FALSE),"")</f>
        <v/>
      </c>
    </row>
    <row r="26" spans="1:24" ht="24">
      <c r="A26" s="172">
        <v>24</v>
      </c>
      <c r="B26" s="180" t="str">
        <f>IFERROR(IF(F26="06",데이터입력!$AB$8,IF(F26="07",데이터입력!$AD$8,IF(F26="05",데이터입력!$AF$8,데이터입력!$AB$8))),데이터입력!$AB$8)</f>
        <v>00</v>
      </c>
      <c r="C26" s="584" t="str">
        <f>데이터입력!$AC$9</f>
        <v>일반사업[일반]</v>
      </c>
      <c r="D26" s="185">
        <f>IFERROR(VLOOKUP($A26,데이터입력!$A:$H,4,FALSE),"")</f>
        <v>503010101</v>
      </c>
      <c r="E26" s="185" t="str">
        <f>IFERROR(VLOOKUP($A26,데이터입력!$A:$H,2,FALSE),"")</f>
        <v>생계비</v>
      </c>
      <c r="F26" s="185" t="str">
        <f>IFERROR(VLOOKUP($A26,데이터입력!$A:$H,5,FALSE),"")</f>
        <v>06</v>
      </c>
      <c r="G26" s="185" t="str">
        <f>IFERROR(VLOOKUP($A26,데이터입력!$A:$H,6,FALSE),"")</f>
        <v>수익사업</v>
      </c>
      <c r="H26" s="186">
        <f>IFERROR(VLOOKUP($A26,데이터입력!$A:$L,8,FALSE)+VLOOKUP($A26,데이터입력!$A:$L,9,FALSE)+VLOOKUP($A26,데이터입력!$A:$L,10,FALSE),"")</f>
        <v>165735662</v>
      </c>
      <c r="I26" s="187" t="s">
        <v>135</v>
      </c>
      <c r="J26" s="187" t="s">
        <v>135</v>
      </c>
      <c r="K26" s="187" t="s">
        <v>135</v>
      </c>
      <c r="M26" s="182" t="str">
        <f>데이터입력!$AB$8</f>
        <v>00</v>
      </c>
      <c r="N26" s="185" t="str">
        <f>데이터입력!$AC$9</f>
        <v>일반사업[일반]</v>
      </c>
      <c r="O26" s="183" t="str">
        <f>IFERROR(VLOOKUP($A26,#REF!,4,FALSE),"")</f>
        <v/>
      </c>
      <c r="P26" s="183" t="str">
        <f>IFERROR(VLOOKUP($A26,#REF!,5,FALSE),"")</f>
        <v/>
      </c>
      <c r="Q26" s="789" t="str">
        <f>IFERROR(VLOOKUP($A26,#REF!,6,FALSE),"")</f>
        <v/>
      </c>
      <c r="R26" s="183" t="str">
        <f>IFERROR(VLOOKUP($A26,#REF!,7,FALSE),"")</f>
        <v/>
      </c>
      <c r="S26" s="183"/>
      <c r="T26" s="184" t="str">
        <f>IFERROR(VLOOKUP($A26,#REF!,9,FALSE),"")</f>
        <v/>
      </c>
      <c r="U26" s="184" t="str">
        <f>IFERROR(VLOOKUP($A26,#REF!,10,FALSE),"")</f>
        <v/>
      </c>
      <c r="V26" s="184" t="str">
        <f>IFERROR(VLOOKUP($A26,#REF!,11,FALSE),"")</f>
        <v/>
      </c>
      <c r="W26" s="184" t="str">
        <f>IFERROR(VLOOKUP($A26,#REF!,12,FALSE),"")</f>
        <v/>
      </c>
      <c r="X26" s="184" t="str">
        <f>IFERROR(VLOOKUP($A26,#REF!,13,FALSE),"")</f>
        <v/>
      </c>
    </row>
    <row r="27" spans="1:24" ht="24">
      <c r="A27" s="172">
        <v>25</v>
      </c>
      <c r="B27" s="180" t="str">
        <f>IFERROR(IF(F27="06",데이터입력!$AB$8,IF(F27="07",데이터입력!$AD$8,IF(F27="05",데이터입력!$AF$8,데이터입력!$AB$8))),데이터입력!$AB$8)</f>
        <v>00</v>
      </c>
      <c r="C27" s="584" t="str">
        <f>데이터입력!$AC$9</f>
        <v>일반사업[일반]</v>
      </c>
      <c r="D27" s="185">
        <f>IFERROR(VLOOKUP($A27,데이터입력!$A:$H,4,FALSE),"")</f>
        <v>503010201</v>
      </c>
      <c r="E27" s="185" t="str">
        <f>IFERROR(VLOOKUP($A27,데이터입력!$A:$H,2,FALSE),"")</f>
        <v>수용기관경비</v>
      </c>
      <c r="F27" s="185" t="str">
        <f>IFERROR(VLOOKUP($A27,데이터입력!$A:$H,5,FALSE),"")</f>
        <v>06</v>
      </c>
      <c r="G27" s="185" t="str">
        <f>IFERROR(VLOOKUP($A27,데이터입력!$A:$H,6,FALSE),"")</f>
        <v>수익사업</v>
      </c>
      <c r="H27" s="186">
        <f>IFERROR(VLOOKUP($A27,데이터입력!$A:$L,8,FALSE)+VLOOKUP($A27,데이터입력!$A:$L,9,FALSE)+VLOOKUP($A27,데이터입력!$A:$L,10,FALSE),"")</f>
        <v>24000000</v>
      </c>
      <c r="I27" s="181" t="s">
        <v>135</v>
      </c>
      <c r="J27" s="181" t="s">
        <v>135</v>
      </c>
      <c r="K27" s="181" t="s">
        <v>135</v>
      </c>
      <c r="M27" s="182" t="str">
        <f>데이터입력!$AB$8</f>
        <v>00</v>
      </c>
      <c r="N27" s="185" t="str">
        <f>데이터입력!$AC$9</f>
        <v>일반사업[일반]</v>
      </c>
      <c r="O27" s="183" t="str">
        <f>IFERROR(VLOOKUP($A27,#REF!,4,FALSE),"")</f>
        <v/>
      </c>
      <c r="P27" s="183" t="str">
        <f>IFERROR(VLOOKUP($A27,#REF!,5,FALSE),"")</f>
        <v/>
      </c>
      <c r="Q27" s="789" t="str">
        <f>IFERROR(VLOOKUP($A27,#REF!,6,FALSE),"")</f>
        <v/>
      </c>
      <c r="R27" s="183" t="str">
        <f>IFERROR(VLOOKUP($A27,#REF!,7,FALSE),"")</f>
        <v/>
      </c>
      <c r="S27" s="183"/>
      <c r="T27" s="184" t="str">
        <f>IFERROR(VLOOKUP($A27,#REF!,9,FALSE),"")</f>
        <v/>
      </c>
      <c r="U27" s="184" t="str">
        <f>IFERROR(VLOOKUP($A27,#REF!,10,FALSE),"")</f>
        <v/>
      </c>
      <c r="V27" s="184" t="str">
        <f>IFERROR(VLOOKUP($A27,#REF!,11,FALSE),"")</f>
        <v/>
      </c>
      <c r="W27" s="184" t="str">
        <f>IFERROR(VLOOKUP($A27,#REF!,12,FALSE),"")</f>
        <v/>
      </c>
      <c r="X27" s="184" t="str">
        <f>IFERROR(VLOOKUP($A27,#REF!,13,FALSE),"")</f>
        <v/>
      </c>
    </row>
    <row r="28" spans="1:24" ht="24">
      <c r="A28" s="172">
        <v>26</v>
      </c>
      <c r="B28" s="180" t="str">
        <f>IFERROR(IF(F28="06",데이터입력!$AB$8,IF(F28="07",데이터입력!$AD$8,IF(F28="05",데이터입력!$AF$8,데이터입력!$AB$8))),데이터입력!$AB$8)</f>
        <v>00</v>
      </c>
      <c r="C28" s="584" t="str">
        <f>데이터입력!$AC$9</f>
        <v>일반사업[일반]</v>
      </c>
      <c r="D28" s="185">
        <f>IFERROR(VLOOKUP($A28,데이터입력!$A:$H,4,FALSE),"")</f>
        <v>503010401</v>
      </c>
      <c r="E28" s="185" t="str">
        <f>IFERROR(VLOOKUP($A28,데이터입력!$A:$H,2,FALSE),"")</f>
        <v>의료비</v>
      </c>
      <c r="F28" s="185" t="str">
        <f>IFERROR(VLOOKUP($A28,데이터입력!$A:$H,5,FALSE),"")</f>
        <v>06</v>
      </c>
      <c r="G28" s="185" t="str">
        <f>IFERROR(VLOOKUP($A28,데이터입력!$A:$H,6,FALSE),"")</f>
        <v>수익사업</v>
      </c>
      <c r="H28" s="186">
        <f>IFERROR(VLOOKUP($A28,데이터입력!$A:$L,8,FALSE)+VLOOKUP($A28,데이터입력!$A:$L,9,FALSE)+VLOOKUP($A28,데이터입력!$A:$L,10,FALSE),"")</f>
        <v>36000000</v>
      </c>
      <c r="I28" s="187" t="s">
        <v>135</v>
      </c>
      <c r="J28" s="187" t="s">
        <v>135</v>
      </c>
      <c r="K28" s="187" t="s">
        <v>135</v>
      </c>
      <c r="M28" s="182" t="str">
        <f>데이터입력!$AB$8</f>
        <v>00</v>
      </c>
      <c r="N28" s="185" t="str">
        <f>데이터입력!$AC$9</f>
        <v>일반사업[일반]</v>
      </c>
      <c r="O28" s="183" t="str">
        <f>IFERROR(VLOOKUP($A28,#REF!,4,FALSE),"")</f>
        <v/>
      </c>
      <c r="P28" s="183" t="str">
        <f>IFERROR(VLOOKUP($A28,#REF!,5,FALSE),"")</f>
        <v/>
      </c>
      <c r="Q28" s="789" t="str">
        <f>IFERROR(VLOOKUP($A28,#REF!,6,FALSE),"")</f>
        <v/>
      </c>
      <c r="R28" s="183" t="str">
        <f>IFERROR(VLOOKUP($A28,#REF!,7,FALSE),"")</f>
        <v/>
      </c>
      <c r="S28" s="183"/>
      <c r="T28" s="184" t="str">
        <f>IFERROR(VLOOKUP($A28,#REF!,9,FALSE),"")</f>
        <v/>
      </c>
      <c r="U28" s="184" t="str">
        <f>IFERROR(VLOOKUP($A28,#REF!,10,FALSE),"")</f>
        <v/>
      </c>
      <c r="V28" s="184" t="str">
        <f>IFERROR(VLOOKUP($A28,#REF!,11,FALSE),"")</f>
        <v/>
      </c>
      <c r="W28" s="184" t="str">
        <f>IFERROR(VLOOKUP($A28,#REF!,12,FALSE),"")</f>
        <v/>
      </c>
      <c r="X28" s="184" t="str">
        <f>IFERROR(VLOOKUP($A28,#REF!,13,FALSE),"")</f>
        <v/>
      </c>
    </row>
    <row r="29" spans="1:24" ht="24">
      <c r="A29" s="172">
        <v>27</v>
      </c>
      <c r="B29" s="180" t="str">
        <f>IFERROR(IF(F29="06",데이터입력!$AB$8,IF(F29="07",데이터입력!$AD$8,IF(F29="05",데이터입력!$AF$8,데이터입력!$AB$8))),데이터입력!$AB$8)</f>
        <v>00</v>
      </c>
      <c r="C29" s="584" t="str">
        <f>데이터입력!$AC$9</f>
        <v>일반사업[일반]</v>
      </c>
      <c r="D29" s="185">
        <f>IFERROR(VLOOKUP($A29,데이터입력!$A:$H,4,FALSE),"")</f>
        <v>503030101</v>
      </c>
      <c r="E29" s="185" t="str">
        <f>IFERROR(VLOOKUP($A29,데이터입력!$A:$H,2,FALSE),"")</f>
        <v>프로그램 사업비</v>
      </c>
      <c r="F29" s="185" t="str">
        <f>IFERROR(VLOOKUP($A29,데이터입력!$A:$H,5,FALSE),"")</f>
        <v>06</v>
      </c>
      <c r="G29" s="185" t="str">
        <f>IFERROR(VLOOKUP($A29,데이터입력!$A:$H,6,FALSE),"")</f>
        <v>수익사업</v>
      </c>
      <c r="H29" s="186">
        <f>IFERROR(VLOOKUP($A29,데이터입력!$A:$L,8,FALSE)+VLOOKUP($A29,데이터입력!$A:$L,9,FALSE)+VLOOKUP($A29,데이터입력!$A:$L,10,FALSE),"")</f>
        <v>14402000</v>
      </c>
      <c r="I29" s="181" t="s">
        <v>135</v>
      </c>
      <c r="J29" s="181" t="s">
        <v>135</v>
      </c>
      <c r="K29" s="181" t="s">
        <v>135</v>
      </c>
      <c r="M29" s="182" t="str">
        <f>데이터입력!$AB$8</f>
        <v>00</v>
      </c>
      <c r="N29" s="185" t="str">
        <f>데이터입력!$AC$9</f>
        <v>일반사업[일반]</v>
      </c>
      <c r="O29" s="183" t="str">
        <f>IFERROR(VLOOKUP($A29,#REF!,4,FALSE),"")</f>
        <v/>
      </c>
      <c r="P29" s="183" t="str">
        <f>IFERROR(VLOOKUP($A29,#REF!,5,FALSE),"")</f>
        <v/>
      </c>
      <c r="Q29" s="789" t="str">
        <f>IFERROR(VLOOKUP($A29,#REF!,6,FALSE),"")</f>
        <v/>
      </c>
      <c r="R29" s="183" t="str">
        <f>IFERROR(VLOOKUP($A29,#REF!,7,FALSE),"")</f>
        <v/>
      </c>
      <c r="S29" s="183"/>
      <c r="T29" s="184" t="str">
        <f>IFERROR(VLOOKUP($A29,#REF!,9,FALSE),"")</f>
        <v/>
      </c>
      <c r="U29" s="184" t="str">
        <f>IFERROR(VLOOKUP($A29,#REF!,10,FALSE),"")</f>
        <v/>
      </c>
      <c r="V29" s="184" t="str">
        <f>IFERROR(VLOOKUP($A29,#REF!,11,FALSE),"")</f>
        <v/>
      </c>
      <c r="W29" s="184" t="str">
        <f>IFERROR(VLOOKUP($A29,#REF!,12,FALSE),"")</f>
        <v/>
      </c>
      <c r="X29" s="184" t="str">
        <f>IFERROR(VLOOKUP($A29,#REF!,13,FALSE),"")</f>
        <v/>
      </c>
    </row>
    <row r="30" spans="1:24" ht="24">
      <c r="A30" s="172">
        <v>28</v>
      </c>
      <c r="B30" s="180" t="str">
        <f>IFERROR(IF(F30="06",데이터입력!$AB$8,IF(F30="07",데이터입력!$AD$8,IF(F30="05",데이터입력!$AF$8,데이터입력!$AB$8))),데이터입력!$AB$8)</f>
        <v>00</v>
      </c>
      <c r="C30" s="584" t="str">
        <f>데이터입력!$AC$9</f>
        <v>일반사업[일반]</v>
      </c>
      <c r="D30" s="185">
        <f>IFERROR(VLOOKUP($A30,데이터입력!$A:$H,4,FALSE),"")</f>
        <v>504010201</v>
      </c>
      <c r="E30" s="185" t="str">
        <f>IFERROR(VLOOKUP($A30,데이터입력!$A:$H,2,FALSE),"")</f>
        <v>기타전출금</v>
      </c>
      <c r="F30" s="185" t="str">
        <f>IFERROR(VLOOKUP($A30,데이터입력!$A:$H,5,FALSE),"")</f>
        <v>06</v>
      </c>
      <c r="G30" s="185" t="str">
        <f>IFERROR(VLOOKUP($A30,데이터입력!$A:$H,6,FALSE),"")</f>
        <v>수익사업</v>
      </c>
      <c r="H30" s="186">
        <f>IFERROR(VLOOKUP($A30,데이터입력!$A:$L,8,FALSE)+VLOOKUP($A30,데이터입력!$A:$L,9,FALSE)+VLOOKUP($A30,데이터입력!$A:$L,10,FALSE),"")</f>
        <v>177000000</v>
      </c>
      <c r="I30" s="187" t="s">
        <v>135</v>
      </c>
      <c r="J30" s="187" t="s">
        <v>135</v>
      </c>
      <c r="K30" s="187" t="s">
        <v>135</v>
      </c>
      <c r="M30" s="182" t="str">
        <f>데이터입력!$AB$8</f>
        <v>00</v>
      </c>
      <c r="N30" s="185" t="str">
        <f>데이터입력!$AC$9</f>
        <v>일반사업[일반]</v>
      </c>
      <c r="O30" s="183" t="str">
        <f>IFERROR(VLOOKUP($A30,#REF!,4,FALSE),"")</f>
        <v/>
      </c>
      <c r="P30" s="183" t="str">
        <f>IFERROR(VLOOKUP($A30,#REF!,5,FALSE),"")</f>
        <v/>
      </c>
      <c r="Q30" s="789" t="str">
        <f>IFERROR(VLOOKUP($A30,#REF!,6,FALSE),"")</f>
        <v/>
      </c>
      <c r="R30" s="183" t="str">
        <f>IFERROR(VLOOKUP($A30,#REF!,7,FALSE),"")</f>
        <v/>
      </c>
      <c r="S30" s="183"/>
      <c r="T30" s="184" t="str">
        <f>IFERROR(VLOOKUP($A30,#REF!,9,FALSE),"")</f>
        <v/>
      </c>
      <c r="U30" s="184" t="str">
        <f>IFERROR(VLOOKUP($A30,#REF!,10,FALSE),"")</f>
        <v/>
      </c>
      <c r="V30" s="184" t="str">
        <f>IFERROR(VLOOKUP($A30,#REF!,11,FALSE),"")</f>
        <v/>
      </c>
      <c r="W30" s="184" t="str">
        <f>IFERROR(VLOOKUP($A30,#REF!,12,FALSE),"")</f>
        <v/>
      </c>
      <c r="X30" s="184" t="str">
        <f>IFERROR(VLOOKUP($A30,#REF!,13,FALSE),"")</f>
        <v/>
      </c>
    </row>
    <row r="31" spans="1:24" ht="24">
      <c r="A31" s="172">
        <v>29</v>
      </c>
      <c r="B31" s="180" t="str">
        <f>IFERROR(IF(F31="06",데이터입력!$AB$8,IF(F31="07",데이터입력!$AD$8,IF(F31="05",데이터입력!$AF$8,데이터입력!$AB$8))),데이터입력!$AB$8)</f>
        <v>00</v>
      </c>
      <c r="C31" s="584" t="str">
        <f>데이터입력!$AC$9</f>
        <v>일반사업[일반]</v>
      </c>
      <c r="D31" s="185">
        <f>IFERROR(VLOOKUP($A31,데이터입력!$A:$H,4,FALSE),"")</f>
        <v>507010101</v>
      </c>
      <c r="E31" s="185" t="str">
        <f>IFERROR(VLOOKUP($A31,데이터입력!$A:$H,2,FALSE),"")</f>
        <v>잡지출</v>
      </c>
      <c r="F31" s="185" t="str">
        <f>IFERROR(VLOOKUP($A31,데이터입력!$A:$H,5,FALSE),"")</f>
        <v>06</v>
      </c>
      <c r="G31" s="185" t="str">
        <f>IFERROR(VLOOKUP($A31,데이터입력!$A:$H,6,FALSE),"")</f>
        <v>수익사업</v>
      </c>
      <c r="H31" s="186">
        <f>IFERROR(VLOOKUP($A31,데이터입력!$A:$L,8,FALSE)+VLOOKUP($A31,데이터입력!$A:$L,9,FALSE)+VLOOKUP($A31,데이터입력!$A:$L,10,FALSE),"")</f>
        <v>1087016977</v>
      </c>
      <c r="I31" s="181" t="s">
        <v>135</v>
      </c>
      <c r="J31" s="181" t="s">
        <v>135</v>
      </c>
      <c r="K31" s="181" t="s">
        <v>135</v>
      </c>
      <c r="M31" s="182" t="str">
        <f>데이터입력!$AB$8</f>
        <v>00</v>
      </c>
      <c r="N31" s="185" t="str">
        <f>데이터입력!$AC$9</f>
        <v>일반사업[일반]</v>
      </c>
      <c r="O31" s="183" t="str">
        <f>IFERROR(VLOOKUP($A31,#REF!,4,FALSE),"")</f>
        <v/>
      </c>
      <c r="P31" s="183" t="str">
        <f>IFERROR(VLOOKUP($A31,#REF!,5,FALSE),"")</f>
        <v/>
      </c>
      <c r="Q31" s="789" t="str">
        <f>IFERROR(VLOOKUP($A31,#REF!,6,FALSE),"")</f>
        <v/>
      </c>
      <c r="R31" s="183" t="str">
        <f>IFERROR(VLOOKUP($A31,#REF!,7,FALSE),"")</f>
        <v/>
      </c>
      <c r="S31" s="183"/>
      <c r="T31" s="184" t="str">
        <f>IFERROR(VLOOKUP($A31,#REF!,9,FALSE),"")</f>
        <v/>
      </c>
      <c r="U31" s="184" t="str">
        <f>IFERROR(VLOOKUP($A31,#REF!,10,FALSE),"")</f>
        <v/>
      </c>
      <c r="V31" s="184" t="str">
        <f>IFERROR(VLOOKUP($A31,#REF!,11,FALSE),"")</f>
        <v/>
      </c>
      <c r="W31" s="184" t="str">
        <f>IFERROR(VLOOKUP($A31,#REF!,12,FALSE),"")</f>
        <v/>
      </c>
      <c r="X31" s="184" t="str">
        <f>IFERROR(VLOOKUP($A31,#REF!,13,FALSE),"")</f>
        <v/>
      </c>
    </row>
    <row r="32" spans="1:24">
      <c r="A32" s="172">
        <v>30</v>
      </c>
      <c r="B32" s="180" t="str">
        <f>IFERROR(IF(F32="06",데이터입력!$AB$8,IF(F32="07",데이터입력!$AD$8,IF(F32="05",데이터입력!$AF$8,데이터입력!$AB$8))),데이터입력!$AB$8)</f>
        <v>00</v>
      </c>
      <c r="C32" s="584" t="str">
        <f>데이터입력!$AC$9</f>
        <v>일반사업[일반]</v>
      </c>
      <c r="D32" s="185">
        <f>IFERROR(VLOOKUP($A32,데이터입력!$A:$H,4,FALSE),"")</f>
        <v>508010101</v>
      </c>
      <c r="E32" s="185" t="str">
        <f>IFERROR(VLOOKUP($A32,데이터입력!$A:$H,2,FALSE),"")</f>
        <v>예비비</v>
      </c>
      <c r="F32" s="185" t="str">
        <f>IFERROR(VLOOKUP($A32,데이터입력!$A:$H,5,FALSE),"")</f>
        <v>06</v>
      </c>
      <c r="G32" s="185" t="str">
        <f>IFERROR(VLOOKUP($A32,데이터입력!$A:$H,6,FALSE),"")</f>
        <v>수익사업</v>
      </c>
      <c r="H32" s="186">
        <f>IFERROR(VLOOKUP($A32,데이터입력!$A:$L,8,FALSE)+VLOOKUP($A32,데이터입력!$A:$L,9,FALSE)+VLOOKUP($A32,데이터입력!$A:$L,10,FALSE),"")</f>
        <v>2000000</v>
      </c>
      <c r="I32" s="187" t="s">
        <v>135</v>
      </c>
      <c r="J32" s="187" t="s">
        <v>135</v>
      </c>
      <c r="K32" s="187" t="s">
        <v>135</v>
      </c>
      <c r="M32" s="182" t="str">
        <f>데이터입력!$AB$8</f>
        <v>00</v>
      </c>
      <c r="N32" s="185" t="str">
        <f>데이터입력!$AC$9</f>
        <v>일반사업[일반]</v>
      </c>
      <c r="O32" s="183" t="str">
        <f>IFERROR(VLOOKUP($A32,#REF!,4,FALSE),"")</f>
        <v/>
      </c>
      <c r="P32" s="183" t="str">
        <f>IFERROR(VLOOKUP($A32,#REF!,5,FALSE),"")</f>
        <v/>
      </c>
      <c r="Q32" s="789" t="str">
        <f>IFERROR(VLOOKUP($A32,#REF!,6,FALSE),"")</f>
        <v/>
      </c>
      <c r="R32" s="183" t="str">
        <f>IFERROR(VLOOKUP($A32,#REF!,7,FALSE),"")</f>
        <v/>
      </c>
      <c r="S32" s="183"/>
      <c r="T32" s="184" t="str">
        <f>IFERROR(VLOOKUP($A32,#REF!,9,FALSE),"")</f>
        <v/>
      </c>
      <c r="U32" s="184" t="str">
        <f>IFERROR(VLOOKUP($A32,#REF!,10,FALSE),"")</f>
        <v/>
      </c>
      <c r="V32" s="184" t="str">
        <f>IFERROR(VLOOKUP($A32,#REF!,11,FALSE),"")</f>
        <v/>
      </c>
      <c r="W32" s="184" t="str">
        <f>IFERROR(VLOOKUP($A32,#REF!,12,FALSE),"")</f>
        <v/>
      </c>
      <c r="X32" s="184" t="str">
        <f>IFERROR(VLOOKUP($A32,#REF!,13,FALSE),"")</f>
        <v/>
      </c>
    </row>
    <row r="33" spans="1:24">
      <c r="A33" s="172">
        <v>31</v>
      </c>
      <c r="B33" s="180" t="str">
        <f>IFERROR(IF(F33="06",데이터입력!$AB$8,IF(F33="07",데이터입력!$AD$8,IF(F33="05",데이터입력!$AF$8,데이터입력!$AB$8))),데이터입력!$AB$8)</f>
        <v>01</v>
      </c>
      <c r="C33" s="584" t="str">
        <f>데이터입력!$AC$9</f>
        <v>일반사업[일반]</v>
      </c>
      <c r="D33" s="185">
        <f>IFERROR(VLOOKUP($A33,데이터입력!$A:$H,4,FALSE),"")</f>
        <v>503010101</v>
      </c>
      <c r="E33" s="185" t="str">
        <f>IFERROR(VLOOKUP($A33,데이터입력!$A:$H,2,FALSE),"")</f>
        <v>생계비</v>
      </c>
      <c r="F33" s="185" t="str">
        <f>IFERROR(VLOOKUP($A33,데이터입력!$A:$H,5,FALSE),"")</f>
        <v>07</v>
      </c>
      <c r="G33" s="185" t="str">
        <f>IFERROR(VLOOKUP($A33,데이터입력!$A:$H,6,FALSE),"")</f>
        <v>보조금</v>
      </c>
      <c r="H33" s="186">
        <f>IFERROR(VLOOKUP($A33,데이터입력!$A:$L,8,FALSE)+VLOOKUP($A33,데이터입력!$A:$L,9,FALSE)+VLOOKUP($A33,데이터입력!$A:$L,10,FALSE),"")</f>
        <v>59280000</v>
      </c>
      <c r="I33" s="181" t="s">
        <v>135</v>
      </c>
      <c r="J33" s="181" t="s">
        <v>135</v>
      </c>
      <c r="K33" s="181" t="s">
        <v>135</v>
      </c>
      <c r="M33" s="182" t="str">
        <f>데이터입력!$AB$8</f>
        <v>00</v>
      </c>
      <c r="N33" s="185" t="str">
        <f>데이터입력!$AC$9</f>
        <v>일반사업[일반]</v>
      </c>
      <c r="O33" s="183" t="str">
        <f>IFERROR(VLOOKUP($A33,#REF!,4,FALSE),"")</f>
        <v/>
      </c>
      <c r="P33" s="183" t="str">
        <f>IFERROR(VLOOKUP($A33,#REF!,5,FALSE),"")</f>
        <v/>
      </c>
      <c r="Q33" s="789" t="str">
        <f>IFERROR(VLOOKUP($A33,#REF!,6,FALSE),"")</f>
        <v/>
      </c>
      <c r="R33" s="183" t="str">
        <f>IFERROR(VLOOKUP($A33,#REF!,7,FALSE),"")</f>
        <v/>
      </c>
      <c r="S33" s="183"/>
      <c r="T33" s="184" t="str">
        <f>IFERROR(VLOOKUP($A33,#REF!,9,FALSE),"")</f>
        <v/>
      </c>
      <c r="U33" s="184" t="str">
        <f>IFERROR(VLOOKUP($A33,#REF!,10,FALSE),"")</f>
        <v/>
      </c>
      <c r="V33" s="184" t="str">
        <f>IFERROR(VLOOKUP($A33,#REF!,11,FALSE),"")</f>
        <v/>
      </c>
      <c r="W33" s="184" t="str">
        <f>IFERROR(VLOOKUP($A33,#REF!,12,FALSE),"")</f>
        <v/>
      </c>
      <c r="X33" s="184" t="str">
        <f>IFERROR(VLOOKUP($A33,#REF!,13,FALSE),"")</f>
        <v/>
      </c>
    </row>
    <row r="34" spans="1:24">
      <c r="A34" s="172">
        <v>32</v>
      </c>
      <c r="B34" s="180" t="str">
        <f>IFERROR(IF(F34="06",데이터입력!$AB$8,IF(F34="07",데이터입력!$AD$8,IF(F34="05",데이터입력!$AF$8,데이터입력!$AB$8))),데이터입력!$AB$8)</f>
        <v>01</v>
      </c>
      <c r="C34" s="584" t="str">
        <f>데이터입력!$AC$9</f>
        <v>일반사업[일반]</v>
      </c>
      <c r="D34" s="185">
        <f>IFERROR(VLOOKUP($A34,데이터입력!$A:$H,4,FALSE),"")</f>
        <v>508010201</v>
      </c>
      <c r="E34" s="185" t="str">
        <f>IFERROR(VLOOKUP($A34,데이터입력!$A:$H,2,FALSE),"")</f>
        <v>반환금</v>
      </c>
      <c r="F34" s="185" t="str">
        <f>IFERROR(VLOOKUP($A34,데이터입력!$A:$H,5,FALSE),"")</f>
        <v>07</v>
      </c>
      <c r="G34" s="185" t="str">
        <f>IFERROR(VLOOKUP($A34,데이터입력!$A:$H,6,FALSE),"")</f>
        <v>보조금</v>
      </c>
      <c r="H34" s="186">
        <f>IFERROR(VLOOKUP($A34,데이터입력!$A:$L,8,FALSE)+VLOOKUP($A34,데이터입력!$A:$L,9,FALSE)+VLOOKUP($A34,데이터입력!$A:$L,10,FALSE),"")</f>
        <v>10000</v>
      </c>
      <c r="I34" s="187" t="s">
        <v>135</v>
      </c>
      <c r="J34" s="187" t="s">
        <v>135</v>
      </c>
      <c r="K34" s="187" t="s">
        <v>135</v>
      </c>
      <c r="M34" s="182" t="str">
        <f>데이터입력!$AB$8</f>
        <v>00</v>
      </c>
      <c r="N34" s="185" t="str">
        <f>데이터입력!$AC$9</f>
        <v>일반사업[일반]</v>
      </c>
      <c r="O34" s="183" t="str">
        <f>IFERROR(VLOOKUP($A34,#REF!,4,FALSE),"")</f>
        <v/>
      </c>
      <c r="P34" s="183" t="str">
        <f>IFERROR(VLOOKUP($A34,#REF!,5,FALSE),"")</f>
        <v/>
      </c>
      <c r="Q34" s="789" t="str">
        <f>IFERROR(VLOOKUP($A34,#REF!,6,FALSE),"")</f>
        <v/>
      </c>
      <c r="R34" s="183" t="str">
        <f>IFERROR(VLOOKUP($A34,#REF!,7,FALSE),"")</f>
        <v/>
      </c>
      <c r="S34" s="183"/>
      <c r="T34" s="184" t="str">
        <f>IFERROR(VLOOKUP($A34,#REF!,9,FALSE),"")</f>
        <v/>
      </c>
      <c r="U34" s="184" t="str">
        <f>IFERROR(VLOOKUP($A34,#REF!,10,FALSE),"")</f>
        <v/>
      </c>
      <c r="V34" s="184" t="str">
        <f>IFERROR(VLOOKUP($A34,#REF!,11,FALSE),"")</f>
        <v/>
      </c>
      <c r="W34" s="184" t="str">
        <f>IFERROR(VLOOKUP($A34,#REF!,12,FALSE),"")</f>
        <v/>
      </c>
      <c r="X34" s="184" t="str">
        <f>IFERROR(VLOOKUP($A34,#REF!,13,FALSE),"")</f>
        <v/>
      </c>
    </row>
    <row r="35" spans="1:24">
      <c r="A35" s="172">
        <v>33</v>
      </c>
      <c r="B35" s="180" t="str">
        <f>IFERROR(IF(F35="06",데이터입력!$AB$8,IF(F35="07",데이터입력!$AD$8,IF(F35="05",데이터입력!$AF$8,데이터입력!$AB$8))),데이터입력!$AB$8)</f>
        <v>00</v>
      </c>
      <c r="C35" s="584" t="str">
        <f>데이터입력!$AC$9</f>
        <v>일반사업[일반]</v>
      </c>
      <c r="D35" s="185" t="str">
        <f>IFERROR(VLOOKUP($A35,데이터입력!$A:$H,4,FALSE),"")</f>
        <v/>
      </c>
      <c r="E35" s="185" t="str">
        <f>IFERROR(VLOOKUP($A35,데이터입력!$A:$H,2,FALSE),"")</f>
        <v/>
      </c>
      <c r="F35" s="185" t="str">
        <f>IFERROR(VLOOKUP($A35,데이터입력!$A:$H,5,FALSE),"")</f>
        <v/>
      </c>
      <c r="G35" s="185" t="str">
        <f>IFERROR(VLOOKUP($A35,데이터입력!$A:$H,6,FALSE),"")</f>
        <v/>
      </c>
      <c r="H35" s="186" t="str">
        <f>IFERROR(VLOOKUP($A35,데이터입력!$A:$L,8,FALSE)+VLOOKUP($A35,데이터입력!$A:$L,9,FALSE)+VLOOKUP($A35,데이터입력!$A:$L,10,FALSE),"")</f>
        <v/>
      </c>
      <c r="I35" s="187" t="s">
        <v>135</v>
      </c>
      <c r="J35" s="187" t="s">
        <v>135</v>
      </c>
      <c r="K35" s="187" t="s">
        <v>135</v>
      </c>
      <c r="M35" s="182" t="str">
        <f>데이터입력!$AB$8</f>
        <v>00</v>
      </c>
      <c r="N35" s="185" t="str">
        <f>데이터입력!$AC$9</f>
        <v>일반사업[일반]</v>
      </c>
      <c r="O35" s="183" t="str">
        <f>IFERROR(VLOOKUP($A35,#REF!,4,FALSE),"")</f>
        <v/>
      </c>
      <c r="P35" s="183" t="str">
        <f>IFERROR(VLOOKUP($A35,#REF!,5,FALSE),"")</f>
        <v/>
      </c>
      <c r="Q35" s="789" t="str">
        <f>IFERROR(VLOOKUP($A35,#REF!,6,FALSE),"")</f>
        <v/>
      </c>
      <c r="R35" s="183" t="str">
        <f>IFERROR(VLOOKUP($A35,#REF!,7,FALSE),"")</f>
        <v/>
      </c>
      <c r="S35" s="183"/>
      <c r="T35" s="184" t="str">
        <f>IFERROR(VLOOKUP($A35,#REF!,9,FALSE),"")</f>
        <v/>
      </c>
      <c r="U35" s="184" t="str">
        <f>IFERROR(VLOOKUP($A35,#REF!,10,FALSE),"")</f>
        <v/>
      </c>
      <c r="V35" s="184" t="str">
        <f>IFERROR(VLOOKUP($A35,#REF!,11,FALSE),"")</f>
        <v/>
      </c>
      <c r="W35" s="184" t="str">
        <f>IFERROR(VLOOKUP($A35,#REF!,12,FALSE),"")</f>
        <v/>
      </c>
      <c r="X35" s="184" t="str">
        <f>IFERROR(VLOOKUP($A35,#REF!,13,FALSE),"")</f>
        <v/>
      </c>
    </row>
    <row r="36" spans="1:24">
      <c r="A36" s="172">
        <v>34</v>
      </c>
      <c r="B36" s="180" t="str">
        <f>IFERROR(IF(F36="06",데이터입력!$AB$8,IF(F36="07",데이터입력!$AD$8,IF(F36="05",데이터입력!$AF$8,데이터입력!$AB$8))),데이터입력!$AB$8)</f>
        <v>00</v>
      </c>
      <c r="C36" s="584" t="str">
        <f>데이터입력!$AC$9</f>
        <v>일반사업[일반]</v>
      </c>
      <c r="D36" s="185" t="str">
        <f>IFERROR(VLOOKUP($A36,데이터입력!$A:$H,4,FALSE),"")</f>
        <v/>
      </c>
      <c r="E36" s="185" t="str">
        <f>IFERROR(VLOOKUP($A36,데이터입력!$A:$H,2,FALSE),"")</f>
        <v/>
      </c>
      <c r="F36" s="185" t="str">
        <f>IFERROR(VLOOKUP($A36,데이터입력!$A:$H,5,FALSE),"")</f>
        <v/>
      </c>
      <c r="G36" s="185" t="str">
        <f>IFERROR(VLOOKUP($A36,데이터입력!$A:$H,6,FALSE),"")</f>
        <v/>
      </c>
      <c r="H36" s="186" t="str">
        <f>IFERROR(VLOOKUP($A36,데이터입력!$A:$L,8,FALSE)+VLOOKUP($A36,데이터입력!$A:$L,9,FALSE)+VLOOKUP($A36,데이터입력!$A:$L,10,FALSE),"")</f>
        <v/>
      </c>
      <c r="I36" s="187" t="s">
        <v>135</v>
      </c>
      <c r="J36" s="187" t="s">
        <v>135</v>
      </c>
      <c r="K36" s="187" t="s">
        <v>135</v>
      </c>
      <c r="M36" s="182" t="str">
        <f>데이터입력!$AB$8</f>
        <v>00</v>
      </c>
      <c r="N36" s="185" t="str">
        <f>데이터입력!$AC$9</f>
        <v>일반사업[일반]</v>
      </c>
      <c r="O36" s="183" t="str">
        <f>IFERROR(VLOOKUP($A36,#REF!,4,FALSE),"")</f>
        <v/>
      </c>
      <c r="P36" s="183" t="str">
        <f>IFERROR(VLOOKUP($A36,#REF!,5,FALSE),"")</f>
        <v/>
      </c>
      <c r="Q36" s="789" t="str">
        <f>IFERROR(VLOOKUP($A36,#REF!,6,FALSE),"")</f>
        <v/>
      </c>
      <c r="R36" s="183" t="str">
        <f>IFERROR(VLOOKUP($A36,#REF!,7,FALSE),"")</f>
        <v/>
      </c>
      <c r="S36" s="183"/>
      <c r="T36" s="184" t="str">
        <f>IFERROR(VLOOKUP($A36,#REF!,9,FALSE),"")</f>
        <v/>
      </c>
      <c r="U36" s="184" t="str">
        <f>IFERROR(VLOOKUP($A36,#REF!,10,FALSE),"")</f>
        <v/>
      </c>
      <c r="V36" s="184" t="str">
        <f>IFERROR(VLOOKUP($A36,#REF!,11,FALSE),"")</f>
        <v/>
      </c>
      <c r="W36" s="184" t="str">
        <f>IFERROR(VLOOKUP($A36,#REF!,12,FALSE),"")</f>
        <v/>
      </c>
      <c r="X36" s="184" t="str">
        <f>IFERROR(VLOOKUP($A36,#REF!,13,FALSE),"")</f>
        <v/>
      </c>
    </row>
    <row r="37" spans="1:24">
      <c r="A37" s="172">
        <v>35</v>
      </c>
      <c r="B37" s="180" t="str">
        <f>IFERROR(IF(F37="06",데이터입력!$AB$8,IF(F37="07",데이터입력!$AD$8,IF(F37="05",데이터입력!$AF$8,데이터입력!$AB$8))),데이터입력!$AB$8)</f>
        <v>00</v>
      </c>
      <c r="C37" s="584" t="str">
        <f>데이터입력!$AC$9</f>
        <v>일반사업[일반]</v>
      </c>
      <c r="D37" s="185" t="str">
        <f>IFERROR(VLOOKUP($A37,데이터입력!$A:$H,4,FALSE),"")</f>
        <v/>
      </c>
      <c r="E37" s="185" t="str">
        <f>IFERROR(VLOOKUP($A37,데이터입력!$A:$H,2,FALSE),"")</f>
        <v/>
      </c>
      <c r="F37" s="185" t="str">
        <f>IFERROR(VLOOKUP($A37,데이터입력!$A:$H,5,FALSE),"")</f>
        <v/>
      </c>
      <c r="G37" s="185" t="str">
        <f>IFERROR(VLOOKUP($A37,데이터입력!$A:$H,6,FALSE),"")</f>
        <v/>
      </c>
      <c r="H37" s="186" t="str">
        <f>IFERROR(VLOOKUP($A37,데이터입력!$A:$L,8,FALSE)+VLOOKUP($A37,데이터입력!$A:$L,9,FALSE)+VLOOKUP($A37,데이터입력!$A:$L,10,FALSE),"")</f>
        <v/>
      </c>
      <c r="I37" s="187" t="s">
        <v>135</v>
      </c>
      <c r="J37" s="187" t="s">
        <v>135</v>
      </c>
      <c r="K37" s="187" t="s">
        <v>135</v>
      </c>
      <c r="M37" s="182" t="str">
        <f>데이터입력!$AB$8</f>
        <v>00</v>
      </c>
      <c r="N37" s="185" t="str">
        <f>데이터입력!$AC$9</f>
        <v>일반사업[일반]</v>
      </c>
      <c r="O37" s="183" t="str">
        <f>IFERROR(VLOOKUP($A37,#REF!,4,FALSE),"")</f>
        <v/>
      </c>
      <c r="P37" s="183" t="str">
        <f>IFERROR(VLOOKUP($A37,#REF!,5,FALSE),"")</f>
        <v/>
      </c>
      <c r="Q37" s="789" t="str">
        <f>IFERROR(VLOOKUP($A37,#REF!,6,FALSE),"")</f>
        <v/>
      </c>
      <c r="R37" s="183" t="str">
        <f>IFERROR(VLOOKUP($A37,#REF!,7,FALSE),"")</f>
        <v/>
      </c>
      <c r="S37" s="183"/>
      <c r="T37" s="184" t="str">
        <f>IFERROR(VLOOKUP($A37,#REF!,9,FALSE),"")</f>
        <v/>
      </c>
      <c r="U37" s="184" t="str">
        <f>IFERROR(VLOOKUP($A37,#REF!,10,FALSE),"")</f>
        <v/>
      </c>
      <c r="V37" s="184" t="str">
        <f>IFERROR(VLOOKUP($A37,#REF!,11,FALSE),"")</f>
        <v/>
      </c>
      <c r="W37" s="184" t="str">
        <f>IFERROR(VLOOKUP($A37,#REF!,12,FALSE),"")</f>
        <v/>
      </c>
      <c r="X37" s="184" t="str">
        <f>IFERROR(VLOOKUP($A37,#REF!,13,FALSE),"")</f>
        <v/>
      </c>
    </row>
    <row r="38" spans="1:24">
      <c r="A38" s="172">
        <v>36</v>
      </c>
      <c r="B38" s="180" t="str">
        <f>IFERROR(IF(F38="06",데이터입력!$AB$8,IF(F38="07",데이터입력!$AD$8,IF(F38="05",데이터입력!$AF$8,데이터입력!$AB$8))),데이터입력!$AB$8)</f>
        <v>00</v>
      </c>
      <c r="C38" s="584" t="str">
        <f>데이터입력!$AC$9</f>
        <v>일반사업[일반]</v>
      </c>
      <c r="D38" s="185" t="str">
        <f>IFERROR(VLOOKUP($A38,데이터입력!$A:$H,4,FALSE),"")</f>
        <v/>
      </c>
      <c r="E38" s="185" t="str">
        <f>IFERROR(VLOOKUP($A38,데이터입력!$A:$H,2,FALSE),"")</f>
        <v/>
      </c>
      <c r="F38" s="185" t="str">
        <f>IFERROR(VLOOKUP($A38,데이터입력!$A:$H,5,FALSE),"")</f>
        <v/>
      </c>
      <c r="G38" s="185" t="str">
        <f>IFERROR(VLOOKUP($A38,데이터입력!$A:$H,6,FALSE),"")</f>
        <v/>
      </c>
      <c r="H38" s="186" t="str">
        <f>IFERROR(VLOOKUP($A38,데이터입력!$A:$L,8,FALSE)+VLOOKUP($A38,데이터입력!$A:$L,9,FALSE)+VLOOKUP($A38,데이터입력!$A:$L,10,FALSE),"")</f>
        <v/>
      </c>
      <c r="I38" s="187" t="s">
        <v>135</v>
      </c>
      <c r="J38" s="187" t="s">
        <v>135</v>
      </c>
      <c r="K38" s="187" t="s">
        <v>135</v>
      </c>
      <c r="M38" s="182" t="str">
        <f>데이터입력!$AB$8</f>
        <v>00</v>
      </c>
      <c r="N38" s="185" t="str">
        <f>데이터입력!$AC$9</f>
        <v>일반사업[일반]</v>
      </c>
      <c r="O38" s="183" t="str">
        <f>IFERROR(VLOOKUP($A38,#REF!,4,FALSE),"")</f>
        <v/>
      </c>
      <c r="P38" s="183" t="str">
        <f>IFERROR(VLOOKUP($A38,#REF!,5,FALSE),"")</f>
        <v/>
      </c>
      <c r="Q38" s="789" t="str">
        <f>IFERROR(VLOOKUP($A38,#REF!,6,FALSE),"")</f>
        <v/>
      </c>
      <c r="R38" s="183" t="str">
        <f>IFERROR(VLOOKUP($A38,#REF!,7,FALSE),"")</f>
        <v/>
      </c>
      <c r="S38" s="183"/>
      <c r="T38" s="184" t="str">
        <f>IFERROR(VLOOKUP($A38,#REF!,9,FALSE),"")</f>
        <v/>
      </c>
      <c r="U38" s="184" t="str">
        <f>IFERROR(VLOOKUP($A38,#REF!,10,FALSE),"")</f>
        <v/>
      </c>
      <c r="V38" s="184" t="str">
        <f>IFERROR(VLOOKUP($A38,#REF!,11,FALSE),"")</f>
        <v/>
      </c>
      <c r="W38" s="184" t="str">
        <f>IFERROR(VLOOKUP($A38,#REF!,12,FALSE),"")</f>
        <v/>
      </c>
      <c r="X38" s="184" t="str">
        <f>IFERROR(VLOOKUP($A38,#REF!,13,FALSE),"")</f>
        <v/>
      </c>
    </row>
    <row r="39" spans="1:24">
      <c r="A39" s="172">
        <v>37</v>
      </c>
      <c r="B39" s="180" t="str">
        <f>IFERROR(IF(F39="06",데이터입력!$AB$8,IF(F39="07",데이터입력!$AD$8,IF(F39="05",데이터입력!$AF$8,데이터입력!$AB$8))),데이터입력!$AB$8)</f>
        <v>00</v>
      </c>
      <c r="C39" s="584" t="str">
        <f>데이터입력!$AC$9</f>
        <v>일반사업[일반]</v>
      </c>
      <c r="D39" s="185" t="str">
        <f>IFERROR(VLOOKUP($A39,데이터입력!$A:$H,4,FALSE),"")</f>
        <v/>
      </c>
      <c r="E39" s="185" t="str">
        <f>IFERROR(VLOOKUP($A39,데이터입력!$A:$H,2,FALSE),"")</f>
        <v/>
      </c>
      <c r="F39" s="185" t="str">
        <f>IFERROR(VLOOKUP($A39,데이터입력!$A:$H,5,FALSE),"")</f>
        <v/>
      </c>
      <c r="G39" s="185" t="str">
        <f>IFERROR(VLOOKUP($A39,데이터입력!$A:$H,6,FALSE),"")</f>
        <v/>
      </c>
      <c r="H39" s="186" t="str">
        <f>IFERROR(VLOOKUP($A39,데이터입력!$A:$L,8,FALSE)+VLOOKUP($A39,데이터입력!$A:$L,9,FALSE)+VLOOKUP($A39,데이터입력!$A:$L,10,FALSE),"")</f>
        <v/>
      </c>
      <c r="I39" s="187" t="s">
        <v>135</v>
      </c>
      <c r="J39" s="187" t="s">
        <v>135</v>
      </c>
      <c r="K39" s="187" t="s">
        <v>135</v>
      </c>
      <c r="M39" s="182" t="str">
        <f>데이터입력!$AB$8</f>
        <v>00</v>
      </c>
      <c r="N39" s="185" t="str">
        <f>데이터입력!$AC$9</f>
        <v>일반사업[일반]</v>
      </c>
      <c r="O39" s="183" t="str">
        <f>IFERROR(VLOOKUP($A39,#REF!,4,FALSE),"")</f>
        <v/>
      </c>
      <c r="P39" s="183" t="str">
        <f>IFERROR(VLOOKUP($A39,#REF!,5,FALSE),"")</f>
        <v/>
      </c>
      <c r="Q39" s="789" t="str">
        <f>IFERROR(VLOOKUP($A39,#REF!,6,FALSE),"")</f>
        <v/>
      </c>
      <c r="R39" s="183" t="str">
        <f>IFERROR(VLOOKUP($A39,#REF!,7,FALSE),"")</f>
        <v/>
      </c>
      <c r="S39" s="183"/>
      <c r="T39" s="184" t="str">
        <f>IFERROR(VLOOKUP($A39,#REF!,9,FALSE),"")</f>
        <v/>
      </c>
      <c r="U39" s="184" t="str">
        <f>IFERROR(VLOOKUP($A39,#REF!,10,FALSE),"")</f>
        <v/>
      </c>
      <c r="V39" s="184" t="str">
        <f>IFERROR(VLOOKUP($A39,#REF!,11,FALSE),"")</f>
        <v/>
      </c>
      <c r="W39" s="184" t="str">
        <f>IFERROR(VLOOKUP($A39,#REF!,12,FALSE),"")</f>
        <v/>
      </c>
      <c r="X39" s="184" t="str">
        <f>IFERROR(VLOOKUP($A39,#REF!,13,FALSE),"")</f>
        <v/>
      </c>
    </row>
    <row r="40" spans="1:24">
      <c r="A40" s="172">
        <v>38</v>
      </c>
      <c r="B40" s="180" t="str">
        <f>IFERROR(IF(F40="06",데이터입력!$AB$8,IF(F40="07",데이터입력!$AD$8,IF(F40="05",데이터입력!$AF$8,데이터입력!$AB$8))),데이터입력!$AB$8)</f>
        <v>00</v>
      </c>
      <c r="C40" s="584" t="str">
        <f>데이터입력!$AC$9</f>
        <v>일반사업[일반]</v>
      </c>
      <c r="D40" s="185" t="str">
        <f>IFERROR(VLOOKUP($A40,데이터입력!$A:$H,4,FALSE),"")</f>
        <v/>
      </c>
      <c r="E40" s="185" t="str">
        <f>IFERROR(VLOOKUP($A40,데이터입력!$A:$H,2,FALSE),"")</f>
        <v/>
      </c>
      <c r="F40" s="185" t="str">
        <f>IFERROR(VLOOKUP($A40,데이터입력!$A:$H,5,FALSE),"")</f>
        <v/>
      </c>
      <c r="G40" s="185" t="str">
        <f>IFERROR(VLOOKUP($A40,데이터입력!$A:$H,6,FALSE),"")</f>
        <v/>
      </c>
      <c r="H40" s="186" t="str">
        <f>IFERROR(VLOOKUP($A40,데이터입력!$A:$L,8,FALSE)+VLOOKUP($A40,데이터입력!$A:$L,9,FALSE)+VLOOKUP($A40,데이터입력!$A:$L,10,FALSE),"")</f>
        <v/>
      </c>
      <c r="I40" s="187" t="s">
        <v>135</v>
      </c>
      <c r="J40" s="187" t="s">
        <v>135</v>
      </c>
      <c r="K40" s="187" t="s">
        <v>135</v>
      </c>
      <c r="M40" s="182" t="str">
        <f>데이터입력!$AB$8</f>
        <v>00</v>
      </c>
      <c r="N40" s="185" t="str">
        <f>데이터입력!$AC$9</f>
        <v>일반사업[일반]</v>
      </c>
      <c r="O40" s="183" t="str">
        <f>IFERROR(VLOOKUP($A40,#REF!,4,FALSE),"")</f>
        <v/>
      </c>
      <c r="P40" s="183" t="str">
        <f>IFERROR(VLOOKUP($A40,#REF!,5,FALSE),"")</f>
        <v/>
      </c>
      <c r="Q40" s="789" t="str">
        <f>IFERROR(VLOOKUP($A40,#REF!,6,FALSE),"")</f>
        <v/>
      </c>
      <c r="R40" s="183" t="str">
        <f>IFERROR(VLOOKUP($A40,#REF!,7,FALSE),"")</f>
        <v/>
      </c>
      <c r="S40" s="183"/>
      <c r="T40" s="184" t="str">
        <f>IFERROR(VLOOKUP($A40,#REF!,9,FALSE),"")</f>
        <v/>
      </c>
      <c r="U40" s="184" t="str">
        <f>IFERROR(VLOOKUP($A40,#REF!,10,FALSE),"")</f>
        <v/>
      </c>
      <c r="V40" s="184" t="str">
        <f>IFERROR(VLOOKUP($A40,#REF!,11,FALSE),"")</f>
        <v/>
      </c>
      <c r="W40" s="184" t="str">
        <f>IFERROR(VLOOKUP($A40,#REF!,12,FALSE),"")</f>
        <v/>
      </c>
      <c r="X40" s="184" t="str">
        <f>IFERROR(VLOOKUP($A40,#REF!,13,FALSE),"")</f>
        <v/>
      </c>
    </row>
    <row r="41" spans="1:24">
      <c r="A41" s="172">
        <v>39</v>
      </c>
      <c r="B41" s="180" t="str">
        <f>IFERROR(IF(F41="06",데이터입력!$AB$8,IF(F41="07",데이터입력!$AD$8,IF(F41="05",데이터입력!$AF$8,데이터입력!$AB$8))),데이터입력!$AB$8)</f>
        <v>00</v>
      </c>
      <c r="C41" s="584" t="str">
        <f>데이터입력!$AC$9</f>
        <v>일반사업[일반]</v>
      </c>
      <c r="D41" s="185" t="str">
        <f>IFERROR(VLOOKUP($A41,데이터입력!$A:$H,4,FALSE),"")</f>
        <v/>
      </c>
      <c r="E41" s="185" t="str">
        <f>IFERROR(VLOOKUP($A41,데이터입력!$A:$H,2,FALSE),"")</f>
        <v/>
      </c>
      <c r="F41" s="185" t="str">
        <f>IFERROR(VLOOKUP($A41,데이터입력!$A:$H,5,FALSE),"")</f>
        <v/>
      </c>
      <c r="G41" s="185" t="str">
        <f>IFERROR(VLOOKUP($A41,데이터입력!$A:$H,6,FALSE),"")</f>
        <v/>
      </c>
      <c r="H41" s="186" t="str">
        <f>IFERROR(VLOOKUP($A41,데이터입력!$A:$L,8,FALSE)+VLOOKUP($A41,데이터입력!$A:$L,9,FALSE)+VLOOKUP($A41,데이터입력!$A:$L,10,FALSE),"")</f>
        <v/>
      </c>
      <c r="I41" s="181" t="s">
        <v>135</v>
      </c>
      <c r="J41" s="181" t="s">
        <v>135</v>
      </c>
      <c r="K41" s="181" t="s">
        <v>135</v>
      </c>
      <c r="M41" s="182" t="str">
        <f>데이터입력!$AB$8</f>
        <v>00</v>
      </c>
      <c r="N41" s="185" t="str">
        <f>데이터입력!$AC$9</f>
        <v>일반사업[일반]</v>
      </c>
      <c r="O41" s="183" t="str">
        <f>IFERROR(VLOOKUP($A41,#REF!,4,FALSE),"")</f>
        <v/>
      </c>
      <c r="P41" s="183" t="str">
        <f>IFERROR(VLOOKUP($A41,#REF!,5,FALSE),"")</f>
        <v/>
      </c>
      <c r="Q41" s="789" t="str">
        <f>IFERROR(VLOOKUP($A41,#REF!,6,FALSE),"")</f>
        <v/>
      </c>
      <c r="R41" s="183" t="str">
        <f>IFERROR(VLOOKUP($A41,#REF!,7,FALSE),"")</f>
        <v/>
      </c>
      <c r="S41" s="183"/>
      <c r="T41" s="184" t="str">
        <f>IFERROR(VLOOKUP($A41,#REF!,9,FALSE),"")</f>
        <v/>
      </c>
      <c r="U41" s="184" t="str">
        <f>IFERROR(VLOOKUP($A41,#REF!,10,FALSE),"")</f>
        <v/>
      </c>
      <c r="V41" s="184" t="str">
        <f>IFERROR(VLOOKUP($A41,#REF!,11,FALSE),"")</f>
        <v/>
      </c>
      <c r="W41" s="184" t="str">
        <f>IFERROR(VLOOKUP($A41,#REF!,12,FALSE),"")</f>
        <v/>
      </c>
      <c r="X41" s="184" t="str">
        <f>IFERROR(VLOOKUP($A41,#REF!,13,FALSE),"")</f>
        <v/>
      </c>
    </row>
    <row r="42" spans="1:24">
      <c r="A42" s="172">
        <v>40</v>
      </c>
      <c r="B42" s="180" t="str">
        <f>IFERROR(IF(F42="06",데이터입력!$AB$8,IF(F42="07",데이터입력!$AD$8,IF(F42="05",데이터입력!$AF$8,데이터입력!$AB$8))),데이터입력!$AB$8)</f>
        <v>00</v>
      </c>
      <c r="C42" s="584" t="str">
        <f>데이터입력!$AC$9</f>
        <v>일반사업[일반]</v>
      </c>
      <c r="D42" s="185" t="str">
        <f>IFERROR(VLOOKUP($A42,데이터입력!$A:$H,4,FALSE),"")</f>
        <v/>
      </c>
      <c r="E42" s="185" t="str">
        <f>IFERROR(VLOOKUP($A42,데이터입력!$A:$H,2,FALSE),"")</f>
        <v/>
      </c>
      <c r="F42" s="185" t="str">
        <f>IFERROR(VLOOKUP($A42,데이터입력!$A:$H,5,FALSE),"")</f>
        <v/>
      </c>
      <c r="G42" s="185" t="str">
        <f>IFERROR(VLOOKUP($A42,데이터입력!$A:$H,6,FALSE),"")</f>
        <v/>
      </c>
      <c r="H42" s="186" t="str">
        <f>IFERROR(VLOOKUP($A42,데이터입력!$A:$L,8,FALSE)+VLOOKUP($A42,데이터입력!$A:$L,9,FALSE)+VLOOKUP($A42,데이터입력!$A:$L,10,FALSE),"")</f>
        <v/>
      </c>
      <c r="I42" s="187" t="s">
        <v>135</v>
      </c>
      <c r="J42" s="187" t="s">
        <v>135</v>
      </c>
      <c r="K42" s="187" t="s">
        <v>135</v>
      </c>
      <c r="M42" s="182" t="str">
        <f>데이터입력!$AB$8</f>
        <v>00</v>
      </c>
      <c r="N42" s="185" t="str">
        <f>데이터입력!$AC$9</f>
        <v>일반사업[일반]</v>
      </c>
      <c r="O42" s="183" t="str">
        <f>IFERROR(VLOOKUP($A42,#REF!,4,FALSE),"")</f>
        <v/>
      </c>
      <c r="P42" s="183" t="str">
        <f>IFERROR(VLOOKUP($A42,#REF!,5,FALSE),"")</f>
        <v/>
      </c>
      <c r="Q42" s="789" t="str">
        <f>IFERROR(VLOOKUP($A42,#REF!,6,FALSE),"")</f>
        <v/>
      </c>
      <c r="R42" s="183" t="str">
        <f>IFERROR(VLOOKUP($A42,#REF!,7,FALSE),"")</f>
        <v/>
      </c>
      <c r="S42" s="183"/>
      <c r="T42" s="184" t="str">
        <f>IFERROR(VLOOKUP($A42,#REF!,9,FALSE),"")</f>
        <v/>
      </c>
      <c r="U42" s="184" t="str">
        <f>IFERROR(VLOOKUP($A42,#REF!,10,FALSE),"")</f>
        <v/>
      </c>
      <c r="V42" s="184" t="str">
        <f>IFERROR(VLOOKUP($A42,#REF!,11,FALSE),"")</f>
        <v/>
      </c>
      <c r="W42" s="184" t="str">
        <f>IFERROR(VLOOKUP($A42,#REF!,12,FALSE),"")</f>
        <v/>
      </c>
      <c r="X42" s="184" t="str">
        <f>IFERROR(VLOOKUP($A42,#REF!,13,FALSE),"")</f>
        <v/>
      </c>
    </row>
    <row r="43" spans="1:24">
      <c r="A43" s="172">
        <v>41</v>
      </c>
      <c r="B43" s="180" t="str">
        <f>IFERROR(IF(F43="06",데이터입력!$AB$8,IF(F43="07",데이터입력!$AD$8,IF(F43="05",데이터입력!$AF$8,데이터입력!$AB$8))),데이터입력!$AB$8)</f>
        <v>00</v>
      </c>
      <c r="C43" s="584" t="str">
        <f>데이터입력!$AC$9</f>
        <v>일반사업[일반]</v>
      </c>
      <c r="D43" s="185" t="str">
        <f>IFERROR(VLOOKUP($A43,데이터입력!$A:$H,4,FALSE),"")</f>
        <v/>
      </c>
      <c r="E43" s="185" t="str">
        <f>IFERROR(VLOOKUP($A43,데이터입력!$A:$H,2,FALSE),"")</f>
        <v/>
      </c>
      <c r="F43" s="185" t="str">
        <f>IFERROR(VLOOKUP($A43,데이터입력!$A:$H,5,FALSE),"")</f>
        <v/>
      </c>
      <c r="G43" s="185" t="str">
        <f>IFERROR(VLOOKUP($A43,데이터입력!$A:$H,6,FALSE),"")</f>
        <v/>
      </c>
      <c r="H43" s="186" t="str">
        <f>IFERROR(VLOOKUP($A43,데이터입력!$A:$L,8,FALSE)+VLOOKUP($A43,데이터입력!$A:$L,9,FALSE)+VLOOKUP($A43,데이터입력!$A:$L,10,FALSE),"")</f>
        <v/>
      </c>
      <c r="I43" s="181" t="s">
        <v>135</v>
      </c>
      <c r="J43" s="181" t="s">
        <v>135</v>
      </c>
      <c r="K43" s="181" t="s">
        <v>135</v>
      </c>
      <c r="M43" s="182" t="str">
        <f>데이터입력!$AB$8</f>
        <v>00</v>
      </c>
      <c r="N43" s="185" t="str">
        <f>데이터입력!$AC$9</f>
        <v>일반사업[일반]</v>
      </c>
      <c r="O43" s="183" t="str">
        <f>IFERROR(VLOOKUP($A43,#REF!,4,FALSE),"")</f>
        <v/>
      </c>
      <c r="P43" s="183" t="str">
        <f>IFERROR(VLOOKUP($A43,#REF!,5,FALSE),"")</f>
        <v/>
      </c>
      <c r="Q43" s="789" t="str">
        <f>IFERROR(VLOOKUP($A43,#REF!,6,FALSE),"")</f>
        <v/>
      </c>
      <c r="R43" s="183" t="str">
        <f>IFERROR(VLOOKUP($A43,#REF!,7,FALSE),"")</f>
        <v/>
      </c>
      <c r="S43" s="183"/>
      <c r="T43" s="184" t="str">
        <f>IFERROR(VLOOKUP($A43,#REF!,9,FALSE),"")</f>
        <v/>
      </c>
      <c r="U43" s="184" t="str">
        <f>IFERROR(VLOOKUP($A43,#REF!,10,FALSE),"")</f>
        <v/>
      </c>
      <c r="V43" s="184" t="str">
        <f>IFERROR(VLOOKUP($A43,#REF!,11,FALSE),"")</f>
        <v/>
      </c>
      <c r="W43" s="184" t="str">
        <f>IFERROR(VLOOKUP($A43,#REF!,12,FALSE),"")</f>
        <v/>
      </c>
      <c r="X43" s="184" t="str">
        <f>IFERROR(VLOOKUP($A43,#REF!,13,FALSE),"")</f>
        <v/>
      </c>
    </row>
    <row r="44" spans="1:24">
      <c r="A44" s="172">
        <v>42</v>
      </c>
      <c r="B44" s="180" t="str">
        <f>IFERROR(IF(F44="06",데이터입력!$AB$8,IF(F44="07",데이터입력!$AD$8,IF(F44="05",데이터입력!$AF$8,데이터입력!$AB$8))),데이터입력!$AB$8)</f>
        <v>00</v>
      </c>
      <c r="C44" s="584" t="str">
        <f>데이터입력!$AC$9</f>
        <v>일반사업[일반]</v>
      </c>
      <c r="D44" s="185" t="str">
        <f>IFERROR(VLOOKUP($A44,데이터입력!$A:$H,4,FALSE),"")</f>
        <v/>
      </c>
      <c r="E44" s="185" t="str">
        <f>IFERROR(VLOOKUP($A44,데이터입력!$A:$H,2,FALSE),"")</f>
        <v/>
      </c>
      <c r="F44" s="185" t="str">
        <f>IFERROR(VLOOKUP($A44,데이터입력!$A:$H,5,FALSE),"")</f>
        <v/>
      </c>
      <c r="G44" s="185" t="str">
        <f>IFERROR(VLOOKUP($A44,데이터입력!$A:$H,6,FALSE),"")</f>
        <v/>
      </c>
      <c r="H44" s="186" t="str">
        <f>IFERROR(VLOOKUP($A44,데이터입력!$A:$L,8,FALSE)+VLOOKUP($A44,데이터입력!$A:$L,9,FALSE)+VLOOKUP($A44,데이터입력!$A:$L,10,FALSE),"")</f>
        <v/>
      </c>
      <c r="I44" s="187" t="s">
        <v>135</v>
      </c>
      <c r="J44" s="187" t="s">
        <v>135</v>
      </c>
      <c r="K44" s="187" t="s">
        <v>135</v>
      </c>
      <c r="M44" s="182" t="str">
        <f>데이터입력!$AB$8</f>
        <v>00</v>
      </c>
      <c r="N44" s="185" t="str">
        <f>데이터입력!$AC$9</f>
        <v>일반사업[일반]</v>
      </c>
      <c r="O44" s="183" t="str">
        <f>IFERROR(VLOOKUP($A44,#REF!,4,FALSE),"")</f>
        <v/>
      </c>
      <c r="P44" s="183" t="str">
        <f>IFERROR(VLOOKUP($A44,#REF!,5,FALSE),"")</f>
        <v/>
      </c>
      <c r="Q44" s="789" t="str">
        <f>IFERROR(VLOOKUP($A44,#REF!,6,FALSE),"")</f>
        <v/>
      </c>
      <c r="R44" s="183" t="str">
        <f>IFERROR(VLOOKUP($A44,#REF!,7,FALSE),"")</f>
        <v/>
      </c>
      <c r="S44" s="183"/>
      <c r="T44" s="184" t="str">
        <f>IFERROR(VLOOKUP($A44,#REF!,9,FALSE),"")</f>
        <v/>
      </c>
      <c r="U44" s="184" t="str">
        <f>IFERROR(VLOOKUP($A44,#REF!,10,FALSE),"")</f>
        <v/>
      </c>
      <c r="V44" s="184" t="str">
        <f>IFERROR(VLOOKUP($A44,#REF!,11,FALSE),"")</f>
        <v/>
      </c>
      <c r="W44" s="184" t="str">
        <f>IFERROR(VLOOKUP($A44,#REF!,12,FALSE),"")</f>
        <v/>
      </c>
      <c r="X44" s="184" t="str">
        <f>IFERROR(VLOOKUP($A44,#REF!,13,FALSE),"")</f>
        <v/>
      </c>
    </row>
    <row r="45" spans="1:24">
      <c r="A45" s="172">
        <v>43</v>
      </c>
      <c r="B45" s="180" t="str">
        <f>IFERROR(IF(F45="06",데이터입력!$AB$8,IF(F45="07",데이터입력!$AD$8,IF(F45="05",데이터입력!$AF$8,데이터입력!$AB$8))),데이터입력!$AB$8)</f>
        <v>00</v>
      </c>
      <c r="C45" s="584" t="str">
        <f>데이터입력!$AC$9</f>
        <v>일반사업[일반]</v>
      </c>
      <c r="D45" s="185" t="str">
        <f>IFERROR(VLOOKUP($A45,데이터입력!$A:$H,4,FALSE),"")</f>
        <v/>
      </c>
      <c r="E45" s="185" t="str">
        <f>IFERROR(VLOOKUP($A45,데이터입력!$A:$H,2,FALSE),"")</f>
        <v/>
      </c>
      <c r="F45" s="185" t="str">
        <f>IFERROR(VLOOKUP($A45,데이터입력!$A:$H,5,FALSE),"")</f>
        <v/>
      </c>
      <c r="G45" s="185" t="str">
        <f>IFERROR(VLOOKUP($A45,데이터입력!$A:$H,6,FALSE),"")</f>
        <v/>
      </c>
      <c r="H45" s="186" t="str">
        <f>IFERROR(VLOOKUP($A45,데이터입력!$A:$L,8,FALSE)+VLOOKUP($A45,데이터입력!$A:$L,9,FALSE)+VLOOKUP($A45,데이터입력!$A:$L,10,FALSE),"")</f>
        <v/>
      </c>
      <c r="I45" s="181" t="s">
        <v>135</v>
      </c>
      <c r="J45" s="181" t="s">
        <v>135</v>
      </c>
      <c r="K45" s="181" t="s">
        <v>135</v>
      </c>
      <c r="M45" s="182" t="str">
        <f>데이터입력!$AB$8</f>
        <v>00</v>
      </c>
      <c r="N45" s="185" t="str">
        <f>데이터입력!$AC$9</f>
        <v>일반사업[일반]</v>
      </c>
      <c r="O45" s="183" t="str">
        <f>IFERROR(VLOOKUP($A45,#REF!,4,FALSE),"")</f>
        <v/>
      </c>
      <c r="P45" s="183" t="str">
        <f>IFERROR(VLOOKUP($A45,#REF!,5,FALSE),"")</f>
        <v/>
      </c>
      <c r="Q45" s="789" t="str">
        <f>IFERROR(VLOOKUP($A45,#REF!,6,FALSE),"")</f>
        <v/>
      </c>
      <c r="R45" s="183" t="str">
        <f>IFERROR(VLOOKUP($A45,#REF!,7,FALSE),"")</f>
        <v/>
      </c>
      <c r="S45" s="183"/>
      <c r="T45" s="184" t="str">
        <f>IFERROR(VLOOKUP($A45,#REF!,9,FALSE),"")</f>
        <v/>
      </c>
      <c r="U45" s="184" t="str">
        <f>IFERROR(VLOOKUP($A45,#REF!,10,FALSE),"")</f>
        <v/>
      </c>
      <c r="V45" s="184" t="str">
        <f>IFERROR(VLOOKUP($A45,#REF!,11,FALSE),"")</f>
        <v/>
      </c>
      <c r="W45" s="184" t="str">
        <f>IFERROR(VLOOKUP($A45,#REF!,12,FALSE),"")</f>
        <v/>
      </c>
      <c r="X45" s="184" t="str">
        <f>IFERROR(VLOOKUP($A45,#REF!,13,FALSE),"")</f>
        <v/>
      </c>
    </row>
    <row r="46" spans="1:24">
      <c r="A46" s="172">
        <v>44</v>
      </c>
      <c r="B46" s="180" t="str">
        <f>IFERROR(IF(F46="06",데이터입력!$AB$8,IF(F46="07",데이터입력!$AD$8,IF(F46="05",데이터입력!$AF$8,데이터입력!$AB$8))),데이터입력!$AB$8)</f>
        <v>00</v>
      </c>
      <c r="C46" s="584" t="str">
        <f>데이터입력!$AC$9</f>
        <v>일반사업[일반]</v>
      </c>
      <c r="D46" s="185" t="str">
        <f>IFERROR(VLOOKUP($A46,데이터입력!$A:$H,4,FALSE),"")</f>
        <v/>
      </c>
      <c r="E46" s="185" t="str">
        <f>IFERROR(VLOOKUP($A46,데이터입력!$A:$H,2,FALSE),"")</f>
        <v/>
      </c>
      <c r="F46" s="185" t="str">
        <f>IFERROR(VLOOKUP($A46,데이터입력!$A:$H,5,FALSE),"")</f>
        <v/>
      </c>
      <c r="G46" s="185" t="str">
        <f>IFERROR(VLOOKUP($A46,데이터입력!$A:$H,6,FALSE),"")</f>
        <v/>
      </c>
      <c r="H46" s="186" t="str">
        <f>IFERROR(VLOOKUP($A46,데이터입력!$A:$L,8,FALSE)+VLOOKUP($A46,데이터입력!$A:$L,9,FALSE)+VLOOKUP($A46,데이터입력!$A:$L,10,FALSE),"")</f>
        <v/>
      </c>
      <c r="I46" s="187" t="s">
        <v>135</v>
      </c>
      <c r="J46" s="187" t="s">
        <v>135</v>
      </c>
      <c r="K46" s="187" t="s">
        <v>135</v>
      </c>
      <c r="M46" s="182" t="str">
        <f>데이터입력!$AB$8</f>
        <v>00</v>
      </c>
      <c r="N46" s="185" t="str">
        <f>데이터입력!$AC$9</f>
        <v>일반사업[일반]</v>
      </c>
      <c r="O46" s="183" t="str">
        <f>IFERROR(VLOOKUP($A46,#REF!,4,FALSE),"")</f>
        <v/>
      </c>
      <c r="P46" s="183" t="str">
        <f>IFERROR(VLOOKUP($A46,#REF!,5,FALSE),"")</f>
        <v/>
      </c>
      <c r="Q46" s="789" t="str">
        <f>IFERROR(VLOOKUP($A46,#REF!,6,FALSE),"")</f>
        <v/>
      </c>
      <c r="R46" s="183" t="str">
        <f>IFERROR(VLOOKUP($A46,#REF!,7,FALSE),"")</f>
        <v/>
      </c>
      <c r="S46" s="183"/>
      <c r="T46" s="184" t="str">
        <f>IFERROR(VLOOKUP($A46,#REF!,9,FALSE),"")</f>
        <v/>
      </c>
      <c r="U46" s="184" t="str">
        <f>IFERROR(VLOOKUP($A46,#REF!,10,FALSE),"")</f>
        <v/>
      </c>
      <c r="V46" s="184" t="str">
        <f>IFERROR(VLOOKUP($A46,#REF!,11,FALSE),"")</f>
        <v/>
      </c>
      <c r="W46" s="184" t="str">
        <f>IFERROR(VLOOKUP($A46,#REF!,12,FALSE),"")</f>
        <v/>
      </c>
      <c r="X46" s="184" t="str">
        <f>IFERROR(VLOOKUP($A46,#REF!,13,FALSE),"")</f>
        <v/>
      </c>
    </row>
    <row r="47" spans="1:24">
      <c r="A47" s="172">
        <v>45</v>
      </c>
      <c r="B47" s="180" t="str">
        <f>IFERROR(IF(F47="06",데이터입력!$AB$8,IF(F47="07",데이터입력!$AD$8,IF(F47="05",데이터입력!$AF$8,데이터입력!$AB$8))),데이터입력!$AB$8)</f>
        <v>00</v>
      </c>
      <c r="C47" s="584" t="str">
        <f>데이터입력!$AC$9</f>
        <v>일반사업[일반]</v>
      </c>
      <c r="D47" s="185" t="str">
        <f>IFERROR(VLOOKUP($A47,데이터입력!$A:$H,4,FALSE),"")</f>
        <v/>
      </c>
      <c r="E47" s="185" t="str">
        <f>IFERROR(VLOOKUP($A47,데이터입력!$A:$H,2,FALSE),"")</f>
        <v/>
      </c>
      <c r="F47" s="185" t="str">
        <f>IFERROR(VLOOKUP($A47,데이터입력!$A:$H,5,FALSE),"")</f>
        <v/>
      </c>
      <c r="G47" s="185" t="str">
        <f>IFERROR(VLOOKUP($A47,데이터입력!$A:$H,6,FALSE),"")</f>
        <v/>
      </c>
      <c r="H47" s="186" t="str">
        <f>IFERROR(VLOOKUP($A47,데이터입력!$A:$L,8,FALSE)+VLOOKUP($A47,데이터입력!$A:$L,9,FALSE)+VLOOKUP($A47,데이터입력!$A:$L,10,FALSE),"")</f>
        <v/>
      </c>
      <c r="I47" s="181" t="s">
        <v>135</v>
      </c>
      <c r="J47" s="181" t="s">
        <v>135</v>
      </c>
      <c r="K47" s="181" t="s">
        <v>135</v>
      </c>
      <c r="M47" s="182" t="str">
        <f>데이터입력!$AB$8</f>
        <v>00</v>
      </c>
      <c r="N47" s="185" t="str">
        <f>데이터입력!$AC$9</f>
        <v>일반사업[일반]</v>
      </c>
      <c r="O47" s="183" t="str">
        <f>IFERROR(VLOOKUP($A47,#REF!,4,FALSE),"")</f>
        <v/>
      </c>
      <c r="P47" s="183" t="str">
        <f>IFERROR(VLOOKUP($A47,#REF!,5,FALSE),"")</f>
        <v/>
      </c>
      <c r="Q47" s="789" t="str">
        <f>IFERROR(VLOOKUP($A47,#REF!,6,FALSE),"")</f>
        <v/>
      </c>
      <c r="R47" s="183" t="str">
        <f>IFERROR(VLOOKUP($A47,#REF!,7,FALSE),"")</f>
        <v/>
      </c>
      <c r="S47" s="183"/>
      <c r="T47" s="184" t="str">
        <f>IFERROR(VLOOKUP($A47,#REF!,9,FALSE),"")</f>
        <v/>
      </c>
      <c r="U47" s="184" t="str">
        <f>IFERROR(VLOOKUP($A47,#REF!,10,FALSE),"")</f>
        <v/>
      </c>
      <c r="V47" s="184" t="str">
        <f>IFERROR(VLOOKUP($A47,#REF!,11,FALSE),"")</f>
        <v/>
      </c>
      <c r="W47" s="184" t="str">
        <f>IFERROR(VLOOKUP($A47,#REF!,12,FALSE),"")</f>
        <v/>
      </c>
      <c r="X47" s="184" t="str">
        <f>IFERROR(VLOOKUP($A47,#REF!,13,FALSE),"")</f>
        <v/>
      </c>
    </row>
    <row r="48" spans="1:24">
      <c r="A48" s="172">
        <v>46</v>
      </c>
      <c r="B48" s="180" t="str">
        <f>IFERROR(IF(F48="06",데이터입력!$AB$8,IF(F48="07",데이터입력!$AD$8,IF(F48="05",데이터입력!$AF$8,데이터입력!$AB$8))),데이터입력!$AB$8)</f>
        <v>00</v>
      </c>
      <c r="C48" s="584" t="str">
        <f>데이터입력!$AC$9</f>
        <v>일반사업[일반]</v>
      </c>
      <c r="D48" s="185" t="str">
        <f>IFERROR(VLOOKUP($A48,데이터입력!$A:$H,4,FALSE),"")</f>
        <v/>
      </c>
      <c r="E48" s="185" t="str">
        <f>IFERROR(VLOOKUP($A48,데이터입력!$A:$H,2,FALSE),"")</f>
        <v/>
      </c>
      <c r="F48" s="185" t="str">
        <f>IFERROR(VLOOKUP($A48,데이터입력!$A:$H,5,FALSE),"")</f>
        <v/>
      </c>
      <c r="G48" s="185" t="str">
        <f>IFERROR(VLOOKUP($A48,데이터입력!$A:$H,6,FALSE),"")</f>
        <v/>
      </c>
      <c r="H48" s="186" t="str">
        <f>IFERROR(VLOOKUP($A48,데이터입력!$A:$L,8,FALSE)+VLOOKUP($A48,데이터입력!$A:$L,9,FALSE)+VLOOKUP($A48,데이터입력!$A:$L,10,FALSE),"")</f>
        <v/>
      </c>
      <c r="I48" s="187" t="s">
        <v>135</v>
      </c>
      <c r="J48" s="187" t="s">
        <v>135</v>
      </c>
      <c r="K48" s="187" t="s">
        <v>135</v>
      </c>
      <c r="M48" s="182" t="str">
        <f>데이터입력!$AB$8</f>
        <v>00</v>
      </c>
      <c r="N48" s="185" t="str">
        <f>데이터입력!$AC$9</f>
        <v>일반사업[일반]</v>
      </c>
      <c r="O48" s="183" t="str">
        <f>IFERROR(VLOOKUP($A48,#REF!,4,FALSE),"")</f>
        <v/>
      </c>
      <c r="P48" s="183" t="str">
        <f>IFERROR(VLOOKUP($A48,#REF!,5,FALSE),"")</f>
        <v/>
      </c>
      <c r="Q48" s="789" t="str">
        <f>IFERROR(VLOOKUP($A48,#REF!,6,FALSE),"")</f>
        <v/>
      </c>
      <c r="R48" s="183" t="str">
        <f>IFERROR(VLOOKUP($A48,#REF!,7,FALSE),"")</f>
        <v/>
      </c>
      <c r="S48" s="183"/>
      <c r="T48" s="184" t="str">
        <f>IFERROR(VLOOKUP($A48,#REF!,9,FALSE),"")</f>
        <v/>
      </c>
      <c r="U48" s="184" t="str">
        <f>IFERROR(VLOOKUP($A48,#REF!,10,FALSE),"")</f>
        <v/>
      </c>
      <c r="V48" s="184" t="str">
        <f>IFERROR(VLOOKUP($A48,#REF!,11,FALSE),"")</f>
        <v/>
      </c>
      <c r="W48" s="184" t="str">
        <f>IFERROR(VLOOKUP($A48,#REF!,12,FALSE),"")</f>
        <v/>
      </c>
      <c r="X48" s="184" t="str">
        <f>IFERROR(VLOOKUP($A48,#REF!,13,FALSE),"")</f>
        <v/>
      </c>
    </row>
    <row r="49" spans="1:24">
      <c r="A49" s="172">
        <v>47</v>
      </c>
      <c r="B49" s="180" t="str">
        <f>IFERROR(IF(F49="06",데이터입력!$AB$8,IF(F49="07",데이터입력!$AD$8,IF(F49="05",데이터입력!$AF$8,데이터입력!$AB$8))),데이터입력!$AB$8)</f>
        <v>00</v>
      </c>
      <c r="C49" s="584" t="str">
        <f>데이터입력!$AC$9</f>
        <v>일반사업[일반]</v>
      </c>
      <c r="D49" s="185" t="str">
        <f>IFERROR(VLOOKUP($A49,데이터입력!$A:$H,4,FALSE),"")</f>
        <v/>
      </c>
      <c r="E49" s="185" t="str">
        <f>IFERROR(VLOOKUP($A49,데이터입력!$A:$H,2,FALSE),"")</f>
        <v/>
      </c>
      <c r="F49" s="185" t="str">
        <f>IFERROR(VLOOKUP($A49,데이터입력!$A:$H,5,FALSE),"")</f>
        <v/>
      </c>
      <c r="G49" s="185" t="str">
        <f>IFERROR(VLOOKUP($A49,데이터입력!$A:$H,6,FALSE),"")</f>
        <v/>
      </c>
      <c r="H49" s="186" t="str">
        <f>IFERROR(VLOOKUP($A49,데이터입력!$A:$L,8,FALSE)+VLOOKUP($A49,데이터입력!$A:$L,9,FALSE)+VLOOKUP($A49,데이터입력!$A:$L,10,FALSE),"")</f>
        <v/>
      </c>
      <c r="I49" s="181" t="s">
        <v>135</v>
      </c>
      <c r="J49" s="181" t="s">
        <v>135</v>
      </c>
      <c r="K49" s="181" t="s">
        <v>135</v>
      </c>
      <c r="M49" s="182" t="str">
        <f>데이터입력!$AB$8</f>
        <v>00</v>
      </c>
      <c r="N49" s="185" t="str">
        <f>데이터입력!$AC$9</f>
        <v>일반사업[일반]</v>
      </c>
      <c r="O49" s="183" t="str">
        <f>IFERROR(VLOOKUP($A49,#REF!,4,FALSE),"")</f>
        <v/>
      </c>
      <c r="P49" s="183" t="str">
        <f>IFERROR(VLOOKUP($A49,#REF!,5,FALSE),"")</f>
        <v/>
      </c>
      <c r="Q49" s="789" t="str">
        <f>IFERROR(VLOOKUP($A49,#REF!,6,FALSE),"")</f>
        <v/>
      </c>
      <c r="R49" s="183" t="str">
        <f>IFERROR(VLOOKUP($A49,#REF!,7,FALSE),"")</f>
        <v/>
      </c>
      <c r="S49" s="183"/>
      <c r="T49" s="184" t="str">
        <f>IFERROR(VLOOKUP($A49,#REF!,9,FALSE),"")</f>
        <v/>
      </c>
      <c r="U49" s="184" t="str">
        <f>IFERROR(VLOOKUP($A49,#REF!,10,FALSE),"")</f>
        <v/>
      </c>
      <c r="V49" s="184" t="str">
        <f>IFERROR(VLOOKUP($A49,#REF!,11,FALSE),"")</f>
        <v/>
      </c>
      <c r="W49" s="184" t="str">
        <f>IFERROR(VLOOKUP($A49,#REF!,12,FALSE),"")</f>
        <v/>
      </c>
      <c r="X49" s="184" t="str">
        <f>IFERROR(VLOOKUP($A49,#REF!,13,FALSE),"")</f>
        <v/>
      </c>
    </row>
    <row r="50" spans="1:24">
      <c r="A50" s="172">
        <v>48</v>
      </c>
      <c r="B50" s="180" t="str">
        <f>IFERROR(IF(F50="06",데이터입력!$AB$8,IF(F50="07",데이터입력!$AD$8,IF(F50="05",데이터입력!$AF$8,데이터입력!$AB$8))),데이터입력!$AB$8)</f>
        <v>00</v>
      </c>
      <c r="C50" s="584" t="str">
        <f>데이터입력!$AC$9</f>
        <v>일반사업[일반]</v>
      </c>
      <c r="D50" s="185" t="str">
        <f>IFERROR(VLOOKUP($A50,데이터입력!$A:$H,4,FALSE),"")</f>
        <v/>
      </c>
      <c r="E50" s="185" t="str">
        <f>IFERROR(VLOOKUP($A50,데이터입력!$A:$H,2,FALSE),"")</f>
        <v/>
      </c>
      <c r="F50" s="185" t="str">
        <f>IFERROR(VLOOKUP($A50,데이터입력!$A:$H,5,FALSE),"")</f>
        <v/>
      </c>
      <c r="G50" s="185" t="str">
        <f>IFERROR(VLOOKUP($A50,데이터입력!$A:$H,6,FALSE),"")</f>
        <v/>
      </c>
      <c r="H50" s="186" t="str">
        <f>IFERROR(VLOOKUP($A50,데이터입력!$A:$L,8,FALSE)+VLOOKUP($A50,데이터입력!$A:$L,9,FALSE)+VLOOKUP($A50,데이터입력!$A:$L,10,FALSE),"")</f>
        <v/>
      </c>
      <c r="I50" s="187" t="s">
        <v>135</v>
      </c>
      <c r="J50" s="187" t="s">
        <v>135</v>
      </c>
      <c r="K50" s="187" t="s">
        <v>135</v>
      </c>
      <c r="M50" s="182" t="str">
        <f>데이터입력!$AB$8</f>
        <v>00</v>
      </c>
      <c r="N50" s="185" t="str">
        <f>데이터입력!$AC$9</f>
        <v>일반사업[일반]</v>
      </c>
      <c r="O50" s="183" t="str">
        <f>IFERROR(VLOOKUP($A50,#REF!,4,FALSE),"")</f>
        <v/>
      </c>
      <c r="P50" s="183" t="str">
        <f>IFERROR(VLOOKUP($A50,#REF!,5,FALSE),"")</f>
        <v/>
      </c>
      <c r="Q50" s="789" t="str">
        <f>IFERROR(VLOOKUP($A50,#REF!,6,FALSE),"")</f>
        <v/>
      </c>
      <c r="R50" s="183" t="str">
        <f>IFERROR(VLOOKUP($A50,#REF!,7,FALSE),"")</f>
        <v/>
      </c>
      <c r="S50" s="183"/>
      <c r="T50" s="184" t="str">
        <f>IFERROR(VLOOKUP($A50,#REF!,9,FALSE),"")</f>
        <v/>
      </c>
      <c r="U50" s="184" t="str">
        <f>IFERROR(VLOOKUP($A50,#REF!,10,FALSE),"")</f>
        <v/>
      </c>
      <c r="V50" s="184" t="str">
        <f>IFERROR(VLOOKUP($A50,#REF!,11,FALSE),"")</f>
        <v/>
      </c>
      <c r="W50" s="184" t="str">
        <f>IFERROR(VLOOKUP($A50,#REF!,12,FALSE),"")</f>
        <v/>
      </c>
      <c r="X50" s="184" t="str">
        <f>IFERROR(VLOOKUP($A50,#REF!,13,FALSE),"")</f>
        <v/>
      </c>
    </row>
    <row r="51" spans="1:24">
      <c r="A51" s="172">
        <v>49</v>
      </c>
      <c r="B51" s="180" t="str">
        <f>IFERROR(IF(F51="06",데이터입력!$AB$8,IF(F51="07",데이터입력!$AD$8,IF(F51="05",데이터입력!$AF$8,데이터입력!$AB$8))),데이터입력!$AB$8)</f>
        <v>00</v>
      </c>
      <c r="C51" s="584" t="str">
        <f>데이터입력!$AC$9</f>
        <v>일반사업[일반]</v>
      </c>
      <c r="D51" s="185" t="str">
        <f>IFERROR(VLOOKUP($A51,데이터입력!$A:$H,4,FALSE),"")</f>
        <v/>
      </c>
      <c r="E51" s="185" t="str">
        <f>IFERROR(VLOOKUP($A51,데이터입력!$A:$H,2,FALSE),"")</f>
        <v/>
      </c>
      <c r="F51" s="185" t="str">
        <f>IFERROR(VLOOKUP($A51,데이터입력!$A:$H,5,FALSE),"")</f>
        <v/>
      </c>
      <c r="G51" s="185" t="str">
        <f>IFERROR(VLOOKUP($A51,데이터입력!$A:$H,6,FALSE),"")</f>
        <v/>
      </c>
      <c r="H51" s="186" t="str">
        <f>IFERROR(VLOOKUP($A51,데이터입력!$A:$L,8,FALSE)+VLOOKUP($A51,데이터입력!$A:$L,9,FALSE)+VLOOKUP($A51,데이터입력!$A:$L,10,FALSE),"")</f>
        <v/>
      </c>
      <c r="I51" s="181" t="s">
        <v>135</v>
      </c>
      <c r="J51" s="181" t="s">
        <v>135</v>
      </c>
      <c r="K51" s="181" t="s">
        <v>135</v>
      </c>
      <c r="M51" s="182" t="str">
        <f>데이터입력!$AB$8</f>
        <v>00</v>
      </c>
      <c r="N51" s="185" t="str">
        <f>데이터입력!$AC$9</f>
        <v>일반사업[일반]</v>
      </c>
      <c r="O51" s="183" t="str">
        <f>IFERROR(VLOOKUP($A51,#REF!,4,FALSE),"")</f>
        <v/>
      </c>
      <c r="P51" s="183" t="str">
        <f>IFERROR(VLOOKUP($A51,#REF!,5,FALSE),"")</f>
        <v/>
      </c>
      <c r="Q51" s="789" t="str">
        <f>IFERROR(VLOOKUP($A51,#REF!,6,FALSE),"")</f>
        <v/>
      </c>
      <c r="R51" s="183" t="str">
        <f>IFERROR(VLOOKUP($A51,#REF!,7,FALSE),"")</f>
        <v/>
      </c>
      <c r="S51" s="183"/>
      <c r="T51" s="184" t="str">
        <f>IFERROR(VLOOKUP($A51,#REF!,9,FALSE),"")</f>
        <v/>
      </c>
      <c r="U51" s="184" t="str">
        <f>IFERROR(VLOOKUP($A51,#REF!,10,FALSE),"")</f>
        <v/>
      </c>
      <c r="V51" s="184" t="str">
        <f>IFERROR(VLOOKUP($A51,#REF!,11,FALSE),"")</f>
        <v/>
      </c>
      <c r="W51" s="184" t="str">
        <f>IFERROR(VLOOKUP($A51,#REF!,12,FALSE),"")</f>
        <v/>
      </c>
      <c r="X51" s="184" t="str">
        <f>IFERROR(VLOOKUP($A51,#REF!,13,FALSE),"")</f>
        <v/>
      </c>
    </row>
    <row r="52" spans="1:24">
      <c r="A52" s="172">
        <v>50</v>
      </c>
      <c r="B52" s="180" t="str">
        <f>IFERROR(IF(F52="06",데이터입력!$AB$8,IF(F52="07",데이터입력!$AD$8,IF(F52="05",데이터입력!$AF$8,데이터입력!$AB$8))),데이터입력!$AB$8)</f>
        <v>00</v>
      </c>
      <c r="C52" s="584" t="str">
        <f>데이터입력!$AC$9</f>
        <v>일반사업[일반]</v>
      </c>
      <c r="D52" s="185" t="str">
        <f>IFERROR(VLOOKUP($A52,데이터입력!$A:$H,4,FALSE),"")</f>
        <v/>
      </c>
      <c r="E52" s="185" t="str">
        <f>IFERROR(VLOOKUP($A52,데이터입력!$A:$H,2,FALSE),"")</f>
        <v/>
      </c>
      <c r="F52" s="185" t="str">
        <f>IFERROR(VLOOKUP($A52,데이터입력!$A:$H,5,FALSE),"")</f>
        <v/>
      </c>
      <c r="G52" s="185" t="str">
        <f>IFERROR(VLOOKUP($A52,데이터입력!$A:$H,6,FALSE),"")</f>
        <v/>
      </c>
      <c r="H52" s="186" t="str">
        <f>IFERROR(VLOOKUP($A52,데이터입력!$A:$L,8,FALSE)+VLOOKUP($A52,데이터입력!$A:$L,9,FALSE)+VLOOKUP($A52,데이터입력!$A:$L,10,FALSE),"")</f>
        <v/>
      </c>
      <c r="I52" s="187" t="s">
        <v>135</v>
      </c>
      <c r="J52" s="187" t="s">
        <v>135</v>
      </c>
      <c r="K52" s="187" t="s">
        <v>135</v>
      </c>
      <c r="M52" s="182" t="str">
        <f>데이터입력!$AB$8</f>
        <v>00</v>
      </c>
      <c r="N52" s="185" t="str">
        <f>데이터입력!$AC$9</f>
        <v>일반사업[일반]</v>
      </c>
      <c r="O52" s="183" t="str">
        <f>IFERROR(VLOOKUP($A52,#REF!,4,FALSE),"")</f>
        <v/>
      </c>
      <c r="P52" s="183" t="str">
        <f>IFERROR(VLOOKUP($A52,#REF!,5,FALSE),"")</f>
        <v/>
      </c>
      <c r="Q52" s="789" t="str">
        <f>IFERROR(VLOOKUP($A52,#REF!,6,FALSE),"")</f>
        <v/>
      </c>
      <c r="R52" s="183" t="str">
        <f>IFERROR(VLOOKUP($A52,#REF!,7,FALSE),"")</f>
        <v/>
      </c>
      <c r="S52" s="183"/>
      <c r="T52" s="184" t="str">
        <f>IFERROR(VLOOKUP($A52,#REF!,9,FALSE),"")</f>
        <v/>
      </c>
      <c r="U52" s="184" t="str">
        <f>IFERROR(VLOOKUP($A52,#REF!,10,FALSE),"")</f>
        <v/>
      </c>
      <c r="V52" s="184" t="str">
        <f>IFERROR(VLOOKUP($A52,#REF!,11,FALSE),"")</f>
        <v/>
      </c>
      <c r="W52" s="184" t="str">
        <f>IFERROR(VLOOKUP($A52,#REF!,12,FALSE),"")</f>
        <v/>
      </c>
      <c r="X52" s="184" t="str">
        <f>IFERROR(VLOOKUP($A52,#REF!,13,FALSE),"")</f>
        <v/>
      </c>
    </row>
    <row r="53" spans="1:24">
      <c r="A53" s="172">
        <v>51</v>
      </c>
      <c r="B53" s="180" t="str">
        <f>IFERROR(IF(F53="06",데이터입력!$AB$8,IF(F53="07",데이터입력!$AD$8,IF(F53="05",데이터입력!$AF$8,데이터입력!$AB$8))),데이터입력!$AB$8)</f>
        <v>00</v>
      </c>
      <c r="C53" s="584" t="str">
        <f>데이터입력!$AC$9</f>
        <v>일반사업[일반]</v>
      </c>
      <c r="D53" s="185" t="str">
        <f>IFERROR(VLOOKUP($A53,데이터입력!$A:$H,4,FALSE),"")</f>
        <v/>
      </c>
      <c r="E53" s="185" t="str">
        <f>IFERROR(VLOOKUP($A53,데이터입력!$A:$H,2,FALSE),"")</f>
        <v/>
      </c>
      <c r="F53" s="185" t="str">
        <f>IFERROR(VLOOKUP($A53,데이터입력!$A:$H,5,FALSE),"")</f>
        <v/>
      </c>
      <c r="G53" s="185" t="str">
        <f>IFERROR(VLOOKUP($A53,데이터입력!$A:$H,6,FALSE),"")</f>
        <v/>
      </c>
      <c r="H53" s="186" t="str">
        <f>IFERROR(VLOOKUP($A53,데이터입력!$A:$L,8,FALSE)+VLOOKUP($A53,데이터입력!$A:$L,9,FALSE)+VLOOKUP($A53,데이터입력!$A:$L,10,FALSE),"")</f>
        <v/>
      </c>
      <c r="I53" s="181" t="s">
        <v>135</v>
      </c>
      <c r="J53" s="181" t="s">
        <v>135</v>
      </c>
      <c r="K53" s="181" t="s">
        <v>135</v>
      </c>
      <c r="M53" s="182" t="str">
        <f>데이터입력!$AB$8</f>
        <v>00</v>
      </c>
      <c r="N53" s="185" t="str">
        <f>데이터입력!$AC$9</f>
        <v>일반사업[일반]</v>
      </c>
      <c r="O53" s="183" t="str">
        <f>IFERROR(VLOOKUP($A53,#REF!,4,FALSE),"")</f>
        <v/>
      </c>
      <c r="P53" s="183" t="str">
        <f>IFERROR(VLOOKUP($A53,#REF!,5,FALSE),"")</f>
        <v/>
      </c>
      <c r="Q53" s="789" t="str">
        <f>IFERROR(VLOOKUP($A53,#REF!,6,FALSE),"")</f>
        <v/>
      </c>
      <c r="R53" s="183" t="str">
        <f>IFERROR(VLOOKUP($A53,#REF!,7,FALSE),"")</f>
        <v/>
      </c>
      <c r="S53" s="183"/>
      <c r="T53" s="184" t="str">
        <f>IFERROR(VLOOKUP($A53,#REF!,9,FALSE),"")</f>
        <v/>
      </c>
      <c r="U53" s="184" t="str">
        <f>IFERROR(VLOOKUP($A53,#REF!,10,FALSE),"")</f>
        <v/>
      </c>
      <c r="V53" s="184" t="str">
        <f>IFERROR(VLOOKUP($A53,#REF!,11,FALSE),"")</f>
        <v/>
      </c>
      <c r="W53" s="184" t="str">
        <f>IFERROR(VLOOKUP($A53,#REF!,12,FALSE),"")</f>
        <v/>
      </c>
      <c r="X53" s="184" t="str">
        <f>IFERROR(VLOOKUP($A53,#REF!,13,FALSE),"")</f>
        <v/>
      </c>
    </row>
    <row r="54" spans="1:24">
      <c r="A54" s="172">
        <v>52</v>
      </c>
      <c r="B54" s="180" t="str">
        <f>IFERROR(IF(F54="06",데이터입력!$AB$8,IF(F54="07",데이터입력!$AD$8,IF(F54="05",데이터입력!$AF$8,데이터입력!$AB$8))),데이터입력!$AB$8)</f>
        <v>00</v>
      </c>
      <c r="C54" s="584" t="str">
        <f>데이터입력!$AC$9</f>
        <v>일반사업[일반]</v>
      </c>
      <c r="D54" s="185" t="str">
        <f>IFERROR(VLOOKUP($A54,데이터입력!$A:$H,4,FALSE),"")</f>
        <v/>
      </c>
      <c r="E54" s="185" t="str">
        <f>IFERROR(VLOOKUP($A54,데이터입력!$A:$H,2,FALSE),"")</f>
        <v/>
      </c>
      <c r="F54" s="185" t="str">
        <f>IFERROR(VLOOKUP($A54,데이터입력!$A:$H,5,FALSE),"")</f>
        <v/>
      </c>
      <c r="G54" s="185" t="str">
        <f>IFERROR(VLOOKUP($A54,데이터입력!$A:$H,6,FALSE),"")</f>
        <v/>
      </c>
      <c r="H54" s="186" t="str">
        <f>IFERROR(VLOOKUP($A54,데이터입력!$A:$L,8,FALSE)+VLOOKUP($A54,데이터입력!$A:$L,9,FALSE)+VLOOKUP($A54,데이터입력!$A:$L,10,FALSE),"")</f>
        <v/>
      </c>
      <c r="I54" s="187" t="s">
        <v>135</v>
      </c>
      <c r="J54" s="187" t="s">
        <v>135</v>
      </c>
      <c r="K54" s="187" t="s">
        <v>135</v>
      </c>
      <c r="M54" s="182" t="str">
        <f>데이터입력!$AB$8</f>
        <v>00</v>
      </c>
      <c r="N54" s="185" t="str">
        <f>데이터입력!$AC$9</f>
        <v>일반사업[일반]</v>
      </c>
      <c r="O54" s="183" t="str">
        <f>IFERROR(VLOOKUP($A54,#REF!,4,FALSE),"")</f>
        <v/>
      </c>
      <c r="P54" s="183" t="str">
        <f>IFERROR(VLOOKUP($A54,#REF!,5,FALSE),"")</f>
        <v/>
      </c>
      <c r="Q54" s="789" t="str">
        <f>IFERROR(VLOOKUP($A54,#REF!,6,FALSE),"")</f>
        <v/>
      </c>
      <c r="R54" s="183" t="str">
        <f>IFERROR(VLOOKUP($A54,#REF!,7,FALSE),"")</f>
        <v/>
      </c>
      <c r="S54" s="183"/>
      <c r="T54" s="184" t="str">
        <f>IFERROR(VLOOKUP($A54,#REF!,9,FALSE),"")</f>
        <v/>
      </c>
      <c r="U54" s="184" t="str">
        <f>IFERROR(VLOOKUP($A54,#REF!,10,FALSE),"")</f>
        <v/>
      </c>
      <c r="V54" s="184" t="str">
        <f>IFERROR(VLOOKUP($A54,#REF!,11,FALSE),"")</f>
        <v/>
      </c>
      <c r="W54" s="184" t="str">
        <f>IFERROR(VLOOKUP($A54,#REF!,12,FALSE),"")</f>
        <v/>
      </c>
      <c r="X54" s="184" t="str">
        <f>IFERROR(VLOOKUP($A54,#REF!,13,FALSE),"")</f>
        <v/>
      </c>
    </row>
    <row r="55" spans="1:24">
      <c r="A55" s="172">
        <v>53</v>
      </c>
      <c r="B55" s="180" t="str">
        <f>IFERROR(IF(F55="06",데이터입력!$AB$8,IF(F55="07",데이터입력!$AD$8,IF(F55="05",데이터입력!$AF$8,데이터입력!$AB$8))),데이터입력!$AB$8)</f>
        <v>00</v>
      </c>
      <c r="C55" s="584" t="str">
        <f>데이터입력!$AC$9</f>
        <v>일반사업[일반]</v>
      </c>
      <c r="D55" s="185" t="str">
        <f>IFERROR(VLOOKUP($A55,데이터입력!$A:$H,4,FALSE),"")</f>
        <v/>
      </c>
      <c r="E55" s="185" t="str">
        <f>IFERROR(VLOOKUP($A55,데이터입력!$A:$H,2,FALSE),"")</f>
        <v/>
      </c>
      <c r="F55" s="185" t="str">
        <f>IFERROR(VLOOKUP($A55,데이터입력!$A:$H,5,FALSE),"")</f>
        <v/>
      </c>
      <c r="G55" s="185" t="str">
        <f>IFERROR(VLOOKUP($A55,데이터입력!$A:$H,6,FALSE),"")</f>
        <v/>
      </c>
      <c r="H55" s="186" t="str">
        <f>IFERROR(VLOOKUP($A55,데이터입력!$A:$L,8,FALSE)+VLOOKUP($A55,데이터입력!$A:$L,9,FALSE)+VLOOKUP($A55,데이터입력!$A:$L,10,FALSE),"")</f>
        <v/>
      </c>
      <c r="I55" s="181" t="s">
        <v>135</v>
      </c>
      <c r="J55" s="181" t="s">
        <v>135</v>
      </c>
      <c r="K55" s="181" t="s">
        <v>135</v>
      </c>
      <c r="M55" s="182" t="str">
        <f>데이터입력!$AB$8</f>
        <v>00</v>
      </c>
      <c r="N55" s="185" t="str">
        <f>데이터입력!$AC$9</f>
        <v>일반사업[일반]</v>
      </c>
      <c r="O55" s="183" t="str">
        <f>IFERROR(VLOOKUP($A55,#REF!,4,FALSE),"")</f>
        <v/>
      </c>
      <c r="P55" s="183" t="str">
        <f>IFERROR(VLOOKUP($A55,#REF!,5,FALSE),"")</f>
        <v/>
      </c>
      <c r="Q55" s="789" t="str">
        <f>IFERROR(VLOOKUP($A55,#REF!,6,FALSE),"")</f>
        <v/>
      </c>
      <c r="R55" s="183" t="str">
        <f>IFERROR(VLOOKUP($A55,#REF!,7,FALSE),"")</f>
        <v/>
      </c>
      <c r="S55" s="183"/>
      <c r="T55" s="184" t="str">
        <f>IFERROR(VLOOKUP($A55,#REF!,9,FALSE),"")</f>
        <v/>
      </c>
      <c r="U55" s="184" t="str">
        <f>IFERROR(VLOOKUP($A55,#REF!,10,FALSE),"")</f>
        <v/>
      </c>
      <c r="V55" s="184" t="str">
        <f>IFERROR(VLOOKUP($A55,#REF!,11,FALSE),"")</f>
        <v/>
      </c>
      <c r="W55" s="184" t="str">
        <f>IFERROR(VLOOKUP($A55,#REF!,12,FALSE),"")</f>
        <v/>
      </c>
      <c r="X55" s="184" t="str">
        <f>IFERROR(VLOOKUP($A55,#REF!,13,FALSE),"")</f>
        <v/>
      </c>
    </row>
    <row r="56" spans="1:24">
      <c r="A56" s="172">
        <v>54</v>
      </c>
      <c r="B56" s="180" t="str">
        <f>IFERROR(IF(F56="06",데이터입력!$AB$8,IF(F56="07",데이터입력!$AD$8,IF(F56="05",데이터입력!$AF$8,데이터입력!$AB$8))),데이터입력!$AB$8)</f>
        <v>00</v>
      </c>
      <c r="C56" s="584" t="str">
        <f>데이터입력!$AC$9</f>
        <v>일반사업[일반]</v>
      </c>
      <c r="D56" s="185" t="str">
        <f>IFERROR(VLOOKUP($A56,데이터입력!$A:$H,4,FALSE),"")</f>
        <v/>
      </c>
      <c r="E56" s="185" t="str">
        <f>IFERROR(VLOOKUP($A56,데이터입력!$A:$H,2,FALSE),"")</f>
        <v/>
      </c>
      <c r="F56" s="185" t="str">
        <f>IFERROR(VLOOKUP($A56,데이터입력!$A:$H,5,FALSE),"")</f>
        <v/>
      </c>
      <c r="G56" s="185" t="str">
        <f>IFERROR(VLOOKUP($A56,데이터입력!$A:$H,6,FALSE),"")</f>
        <v/>
      </c>
      <c r="H56" s="186" t="str">
        <f>IFERROR(VLOOKUP($A56,데이터입력!$A:$L,8,FALSE)+VLOOKUP($A56,데이터입력!$A:$L,9,FALSE)+VLOOKUP($A56,데이터입력!$A:$L,10,FALSE),"")</f>
        <v/>
      </c>
      <c r="I56" s="187" t="s">
        <v>135</v>
      </c>
      <c r="J56" s="187" t="s">
        <v>135</v>
      </c>
      <c r="K56" s="187" t="s">
        <v>135</v>
      </c>
      <c r="M56" s="182" t="str">
        <f>데이터입력!$AB$8</f>
        <v>00</v>
      </c>
      <c r="N56" s="185" t="str">
        <f>데이터입력!$AC$9</f>
        <v>일반사업[일반]</v>
      </c>
      <c r="O56" s="183" t="str">
        <f>IFERROR(VLOOKUP($A56,#REF!,4,FALSE),"")</f>
        <v/>
      </c>
      <c r="P56" s="183" t="str">
        <f>IFERROR(VLOOKUP($A56,#REF!,5,FALSE),"")</f>
        <v/>
      </c>
      <c r="Q56" s="789" t="str">
        <f>IFERROR(VLOOKUP($A56,#REF!,6,FALSE),"")</f>
        <v/>
      </c>
      <c r="R56" s="183" t="str">
        <f>IFERROR(VLOOKUP($A56,#REF!,7,FALSE),"")</f>
        <v/>
      </c>
      <c r="S56" s="183"/>
      <c r="T56" s="184" t="str">
        <f>IFERROR(VLOOKUP($A56,#REF!,9,FALSE),"")</f>
        <v/>
      </c>
      <c r="U56" s="184" t="str">
        <f>IFERROR(VLOOKUP($A56,#REF!,10,FALSE),"")</f>
        <v/>
      </c>
      <c r="V56" s="184" t="str">
        <f>IFERROR(VLOOKUP($A56,#REF!,11,FALSE),"")</f>
        <v/>
      </c>
      <c r="W56" s="184" t="str">
        <f>IFERROR(VLOOKUP($A56,#REF!,12,FALSE),"")</f>
        <v/>
      </c>
      <c r="X56" s="184" t="str">
        <f>IFERROR(VLOOKUP($A56,#REF!,13,FALSE),"")</f>
        <v/>
      </c>
    </row>
    <row r="57" spans="1:24">
      <c r="A57" s="172">
        <v>55</v>
      </c>
      <c r="B57" s="180" t="str">
        <f>IFERROR(IF(F57="06",데이터입력!$AB$8,IF(F57="07",데이터입력!$AD$8,IF(F57="05",데이터입력!$AF$8,데이터입력!$AB$8))),데이터입력!$AB$8)</f>
        <v>00</v>
      </c>
      <c r="C57" s="584" t="str">
        <f>데이터입력!$AC$9</f>
        <v>일반사업[일반]</v>
      </c>
      <c r="D57" s="185" t="str">
        <f>IFERROR(VLOOKUP($A57,데이터입력!$A:$H,4,FALSE),"")</f>
        <v/>
      </c>
      <c r="E57" s="185" t="str">
        <f>IFERROR(VLOOKUP($A57,데이터입력!$A:$H,2,FALSE),"")</f>
        <v/>
      </c>
      <c r="F57" s="185" t="str">
        <f>IFERROR(VLOOKUP($A57,데이터입력!$A:$H,5,FALSE),"")</f>
        <v/>
      </c>
      <c r="G57" s="185" t="str">
        <f>IFERROR(VLOOKUP($A57,데이터입력!$A:$H,6,FALSE),"")</f>
        <v/>
      </c>
      <c r="H57" s="186" t="str">
        <f>IFERROR(VLOOKUP($A57,데이터입력!$A:$L,8,FALSE)+VLOOKUP($A57,데이터입력!$A:$L,9,FALSE)+VLOOKUP($A57,데이터입력!$A:$L,10,FALSE),"")</f>
        <v/>
      </c>
      <c r="I57" s="181" t="s">
        <v>135</v>
      </c>
      <c r="J57" s="181" t="s">
        <v>135</v>
      </c>
      <c r="K57" s="181" t="s">
        <v>135</v>
      </c>
      <c r="M57" s="182" t="str">
        <f>데이터입력!$AB$8</f>
        <v>00</v>
      </c>
      <c r="N57" s="185" t="str">
        <f>데이터입력!$AC$9</f>
        <v>일반사업[일반]</v>
      </c>
      <c r="O57" s="183" t="str">
        <f>IFERROR(VLOOKUP($A57,#REF!,4,FALSE),"")</f>
        <v/>
      </c>
      <c r="P57" s="183" t="str">
        <f>IFERROR(VLOOKUP($A57,#REF!,5,FALSE),"")</f>
        <v/>
      </c>
      <c r="Q57" s="789" t="str">
        <f>IFERROR(VLOOKUP($A57,#REF!,6,FALSE),"")</f>
        <v/>
      </c>
      <c r="R57" s="183" t="str">
        <f>IFERROR(VLOOKUP($A57,#REF!,7,FALSE),"")</f>
        <v/>
      </c>
      <c r="S57" s="183"/>
      <c r="T57" s="184" t="str">
        <f>IFERROR(VLOOKUP($A57,#REF!,9,FALSE),"")</f>
        <v/>
      </c>
      <c r="U57" s="184" t="str">
        <f>IFERROR(VLOOKUP($A57,#REF!,10,FALSE),"")</f>
        <v/>
      </c>
      <c r="V57" s="184" t="str">
        <f>IFERROR(VLOOKUP($A57,#REF!,11,FALSE),"")</f>
        <v/>
      </c>
      <c r="W57" s="184" t="str">
        <f>IFERROR(VLOOKUP($A57,#REF!,12,FALSE),"")</f>
        <v/>
      </c>
      <c r="X57" s="184" t="str">
        <f>IFERROR(VLOOKUP($A57,#REF!,13,FALSE),"")</f>
        <v/>
      </c>
    </row>
    <row r="58" spans="1:24">
      <c r="A58" s="172">
        <v>56</v>
      </c>
      <c r="B58" s="180" t="str">
        <f>IFERROR(IF(F58="06",데이터입력!$AB$8,IF(F58="07",데이터입력!$AD$8,IF(F58="05",데이터입력!$AF$8,데이터입력!$AB$8))),데이터입력!$AB$8)</f>
        <v>00</v>
      </c>
      <c r="C58" s="584" t="str">
        <f>데이터입력!$AC$9</f>
        <v>일반사업[일반]</v>
      </c>
      <c r="D58" s="185" t="str">
        <f>IFERROR(VLOOKUP($A58,데이터입력!$A:$H,4,FALSE),"")</f>
        <v/>
      </c>
      <c r="E58" s="185" t="str">
        <f>IFERROR(VLOOKUP($A58,데이터입력!$A:$H,2,FALSE),"")</f>
        <v/>
      </c>
      <c r="F58" s="185" t="str">
        <f>IFERROR(VLOOKUP($A58,데이터입력!$A:$H,5,FALSE),"")</f>
        <v/>
      </c>
      <c r="G58" s="185" t="str">
        <f>IFERROR(VLOOKUP($A58,데이터입력!$A:$H,6,FALSE),"")</f>
        <v/>
      </c>
      <c r="H58" s="186" t="str">
        <f>IFERROR(VLOOKUP($A58,데이터입력!$A:$L,8,FALSE)+VLOOKUP($A58,데이터입력!$A:$L,9,FALSE)+VLOOKUP($A58,데이터입력!$A:$L,10,FALSE),"")</f>
        <v/>
      </c>
      <c r="I58" s="187" t="s">
        <v>135</v>
      </c>
      <c r="J58" s="187" t="s">
        <v>135</v>
      </c>
      <c r="K58" s="187" t="s">
        <v>135</v>
      </c>
      <c r="M58" s="182" t="str">
        <f>데이터입력!$AB$8</f>
        <v>00</v>
      </c>
      <c r="N58" s="185" t="str">
        <f>데이터입력!$AC$9</f>
        <v>일반사업[일반]</v>
      </c>
      <c r="O58" s="183" t="str">
        <f>IFERROR(VLOOKUP($A58,#REF!,4,FALSE),"")</f>
        <v/>
      </c>
      <c r="P58" s="183" t="str">
        <f>IFERROR(VLOOKUP($A58,#REF!,5,FALSE),"")</f>
        <v/>
      </c>
      <c r="Q58" s="789" t="str">
        <f>IFERROR(VLOOKUP($A58,#REF!,6,FALSE),"")</f>
        <v/>
      </c>
      <c r="R58" s="183" t="str">
        <f>IFERROR(VLOOKUP($A58,#REF!,7,FALSE),"")</f>
        <v/>
      </c>
      <c r="S58" s="183"/>
      <c r="T58" s="184" t="str">
        <f>IFERROR(VLOOKUP($A58,#REF!,9,FALSE),"")</f>
        <v/>
      </c>
      <c r="U58" s="184" t="str">
        <f>IFERROR(VLOOKUP($A58,#REF!,10,FALSE),"")</f>
        <v/>
      </c>
      <c r="V58" s="184" t="str">
        <f>IFERROR(VLOOKUP($A58,#REF!,11,FALSE),"")</f>
        <v/>
      </c>
      <c r="W58" s="184" t="str">
        <f>IFERROR(VLOOKUP($A58,#REF!,12,FALSE),"")</f>
        <v/>
      </c>
      <c r="X58" s="184" t="str">
        <f>IFERROR(VLOOKUP($A58,#REF!,13,FALSE),"")</f>
        <v/>
      </c>
    </row>
    <row r="59" spans="1:24">
      <c r="A59" s="172">
        <v>57</v>
      </c>
      <c r="B59" s="180" t="str">
        <f>IFERROR(IF(F59="06",데이터입력!$AB$8,IF(F59="07",데이터입력!$AD$8,IF(F59="05",데이터입력!$AF$8,데이터입력!$AB$8))),데이터입력!$AB$8)</f>
        <v>00</v>
      </c>
      <c r="C59" s="584" t="str">
        <f>데이터입력!$AC$9</f>
        <v>일반사업[일반]</v>
      </c>
      <c r="D59" s="185" t="str">
        <f>IFERROR(VLOOKUP($A59,데이터입력!$A:$H,4,FALSE),"")</f>
        <v/>
      </c>
      <c r="E59" s="185" t="str">
        <f>IFERROR(VLOOKUP($A59,데이터입력!$A:$H,2,FALSE),"")</f>
        <v/>
      </c>
      <c r="F59" s="185" t="str">
        <f>IFERROR(VLOOKUP($A59,데이터입력!$A:$H,5,FALSE),"")</f>
        <v/>
      </c>
      <c r="G59" s="185" t="str">
        <f>IFERROR(VLOOKUP($A59,데이터입력!$A:$H,6,FALSE),"")</f>
        <v/>
      </c>
      <c r="H59" s="186" t="str">
        <f>IFERROR(VLOOKUP($A59,데이터입력!$A:$L,8,FALSE)+VLOOKUP($A59,데이터입력!$A:$L,9,FALSE)+VLOOKUP($A59,데이터입력!$A:$L,10,FALSE),"")</f>
        <v/>
      </c>
      <c r="I59" s="181" t="s">
        <v>135</v>
      </c>
      <c r="J59" s="181" t="s">
        <v>135</v>
      </c>
      <c r="K59" s="181" t="s">
        <v>135</v>
      </c>
      <c r="M59" s="182" t="str">
        <f>데이터입력!$AB$8</f>
        <v>00</v>
      </c>
      <c r="N59" s="185" t="str">
        <f>데이터입력!$AC$9</f>
        <v>일반사업[일반]</v>
      </c>
      <c r="O59" s="183" t="str">
        <f>IFERROR(VLOOKUP($A59,#REF!,4,FALSE),"")</f>
        <v/>
      </c>
      <c r="P59" s="183" t="str">
        <f>IFERROR(VLOOKUP($A59,#REF!,5,FALSE),"")</f>
        <v/>
      </c>
      <c r="Q59" s="789" t="str">
        <f>IFERROR(VLOOKUP($A59,#REF!,6,FALSE),"")</f>
        <v/>
      </c>
      <c r="R59" s="183" t="str">
        <f>IFERROR(VLOOKUP($A59,#REF!,7,FALSE),"")</f>
        <v/>
      </c>
      <c r="S59" s="183"/>
      <c r="T59" s="184" t="str">
        <f>IFERROR(VLOOKUP($A59,#REF!,9,FALSE),"")</f>
        <v/>
      </c>
      <c r="U59" s="184" t="str">
        <f>IFERROR(VLOOKUP($A59,#REF!,10,FALSE),"")</f>
        <v/>
      </c>
      <c r="V59" s="184" t="str">
        <f>IFERROR(VLOOKUP($A59,#REF!,11,FALSE),"")</f>
        <v/>
      </c>
      <c r="W59" s="184" t="str">
        <f>IFERROR(VLOOKUP($A59,#REF!,12,FALSE),"")</f>
        <v/>
      </c>
      <c r="X59" s="184" t="str">
        <f>IFERROR(VLOOKUP($A59,#REF!,13,FALSE),"")</f>
        <v/>
      </c>
    </row>
    <row r="60" spans="1:24">
      <c r="A60" s="172">
        <v>58</v>
      </c>
      <c r="B60" s="180" t="str">
        <f>IFERROR(IF(F60="06",데이터입력!$AB$8,IF(F60="07",데이터입력!$AD$8,IF(F60="05",데이터입력!$AF$8,데이터입력!$AB$8))),데이터입력!$AB$8)</f>
        <v>00</v>
      </c>
      <c r="C60" s="584" t="str">
        <f>데이터입력!$AC$9</f>
        <v>일반사업[일반]</v>
      </c>
      <c r="D60" s="185" t="str">
        <f>IFERROR(VLOOKUP($A60,데이터입력!$A:$H,4,FALSE),"")</f>
        <v/>
      </c>
      <c r="E60" s="185" t="str">
        <f>IFERROR(VLOOKUP($A60,데이터입력!$A:$H,2,FALSE),"")</f>
        <v/>
      </c>
      <c r="F60" s="185" t="str">
        <f>IFERROR(VLOOKUP($A60,데이터입력!$A:$H,5,FALSE),"")</f>
        <v/>
      </c>
      <c r="G60" s="185" t="str">
        <f>IFERROR(VLOOKUP($A60,데이터입력!$A:$H,6,FALSE),"")</f>
        <v/>
      </c>
      <c r="H60" s="186" t="str">
        <f>IFERROR(VLOOKUP($A60,데이터입력!$A:$L,8,FALSE)+VLOOKUP($A60,데이터입력!$A:$L,9,FALSE)+VLOOKUP($A60,데이터입력!$A:$L,10,FALSE),"")</f>
        <v/>
      </c>
      <c r="I60" s="187" t="s">
        <v>135</v>
      </c>
      <c r="J60" s="187" t="s">
        <v>135</v>
      </c>
      <c r="K60" s="187" t="s">
        <v>135</v>
      </c>
      <c r="M60" s="182" t="str">
        <f>데이터입력!$AB$8</f>
        <v>00</v>
      </c>
      <c r="N60" s="185" t="str">
        <f>데이터입력!$AC$9</f>
        <v>일반사업[일반]</v>
      </c>
      <c r="O60" s="183" t="str">
        <f>IFERROR(VLOOKUP($A60,#REF!,4,FALSE),"")</f>
        <v/>
      </c>
      <c r="P60" s="183" t="str">
        <f>IFERROR(VLOOKUP($A60,#REF!,5,FALSE),"")</f>
        <v/>
      </c>
      <c r="Q60" s="789" t="str">
        <f>IFERROR(VLOOKUP($A60,#REF!,6,FALSE),"")</f>
        <v/>
      </c>
      <c r="R60" s="183" t="str">
        <f>IFERROR(VLOOKUP($A60,#REF!,7,FALSE),"")</f>
        <v/>
      </c>
      <c r="S60" s="183"/>
      <c r="T60" s="184" t="str">
        <f>IFERROR(VLOOKUP($A60,#REF!,9,FALSE),"")</f>
        <v/>
      </c>
      <c r="U60" s="184" t="str">
        <f>IFERROR(VLOOKUP($A60,#REF!,10,FALSE),"")</f>
        <v/>
      </c>
      <c r="V60" s="184" t="str">
        <f>IFERROR(VLOOKUP($A60,#REF!,11,FALSE),"")</f>
        <v/>
      </c>
      <c r="W60" s="184" t="str">
        <f>IFERROR(VLOOKUP($A60,#REF!,12,FALSE),"")</f>
        <v/>
      </c>
      <c r="X60" s="184" t="str">
        <f>IFERROR(VLOOKUP($A60,#REF!,13,FALSE),"")</f>
        <v/>
      </c>
    </row>
    <row r="61" spans="1:24">
      <c r="A61" s="172">
        <v>59</v>
      </c>
      <c r="B61" s="180" t="str">
        <f>IFERROR(IF(F61="06",데이터입력!$AB$8,IF(F61="07",데이터입력!$AD$8,IF(F61="05",데이터입력!$AF$8,데이터입력!$AB$8))),데이터입력!$AB$8)</f>
        <v>00</v>
      </c>
      <c r="C61" s="584" t="str">
        <f>데이터입력!$AC$9</f>
        <v>일반사업[일반]</v>
      </c>
      <c r="D61" s="185" t="str">
        <f>IFERROR(VLOOKUP($A61,데이터입력!$A:$H,4,FALSE),"")</f>
        <v/>
      </c>
      <c r="E61" s="185" t="str">
        <f>IFERROR(VLOOKUP($A61,데이터입력!$A:$H,2,FALSE),"")</f>
        <v/>
      </c>
      <c r="F61" s="185" t="str">
        <f>IFERROR(VLOOKUP($A61,데이터입력!$A:$H,5,FALSE),"")</f>
        <v/>
      </c>
      <c r="G61" s="185" t="str">
        <f>IFERROR(VLOOKUP($A61,데이터입력!$A:$H,6,FALSE),"")</f>
        <v/>
      </c>
      <c r="H61" s="186" t="str">
        <f>IFERROR(VLOOKUP($A61,데이터입력!$A:$L,8,FALSE)+VLOOKUP($A61,데이터입력!$A:$L,9,FALSE)+VLOOKUP($A61,데이터입력!$A:$L,10,FALSE),"")</f>
        <v/>
      </c>
      <c r="I61" s="181" t="s">
        <v>135</v>
      </c>
      <c r="J61" s="181" t="s">
        <v>135</v>
      </c>
      <c r="K61" s="181" t="s">
        <v>135</v>
      </c>
      <c r="M61" s="182" t="str">
        <f>데이터입력!$AB$8</f>
        <v>00</v>
      </c>
      <c r="N61" s="185" t="str">
        <f>데이터입력!$AC$9</f>
        <v>일반사업[일반]</v>
      </c>
      <c r="O61" s="183" t="str">
        <f>IFERROR(VLOOKUP($A61,#REF!,4,FALSE),"")</f>
        <v/>
      </c>
      <c r="P61" s="183" t="str">
        <f>IFERROR(VLOOKUP($A61,#REF!,5,FALSE),"")</f>
        <v/>
      </c>
      <c r="Q61" s="789" t="str">
        <f>IFERROR(VLOOKUP($A61,#REF!,6,FALSE),"")</f>
        <v/>
      </c>
      <c r="R61" s="183" t="str">
        <f>IFERROR(VLOOKUP($A61,#REF!,7,FALSE),"")</f>
        <v/>
      </c>
      <c r="S61" s="183"/>
      <c r="T61" s="184" t="str">
        <f>IFERROR(VLOOKUP($A61,#REF!,9,FALSE),"")</f>
        <v/>
      </c>
      <c r="U61" s="184" t="str">
        <f>IFERROR(VLOOKUP($A61,#REF!,10,FALSE),"")</f>
        <v/>
      </c>
      <c r="V61" s="184" t="str">
        <f>IFERROR(VLOOKUP($A61,#REF!,11,FALSE),"")</f>
        <v/>
      </c>
      <c r="W61" s="184" t="str">
        <f>IFERROR(VLOOKUP($A61,#REF!,12,FALSE),"")</f>
        <v/>
      </c>
      <c r="X61" s="184" t="str">
        <f>IFERROR(VLOOKUP($A61,#REF!,13,FALSE),"")</f>
        <v/>
      </c>
    </row>
    <row r="62" spans="1:24">
      <c r="A62" s="172">
        <v>60</v>
      </c>
      <c r="B62" s="180" t="str">
        <f>IFERROR(IF(F62="06",데이터입력!$AB$8,IF(F62="07",데이터입력!$AD$8,IF(F62="05",데이터입력!$AF$8,데이터입력!$AB$8))),데이터입력!$AB$8)</f>
        <v>00</v>
      </c>
      <c r="C62" s="584" t="str">
        <f>데이터입력!$AC$9</f>
        <v>일반사업[일반]</v>
      </c>
      <c r="D62" s="185" t="str">
        <f>IFERROR(VLOOKUP($A62,데이터입력!$A:$H,4,FALSE),"")</f>
        <v/>
      </c>
      <c r="E62" s="185" t="str">
        <f>IFERROR(VLOOKUP($A62,데이터입력!$A:$H,2,FALSE),"")</f>
        <v/>
      </c>
      <c r="F62" s="185" t="str">
        <f>IFERROR(VLOOKUP($A62,데이터입력!$A:$H,5,FALSE),"")</f>
        <v/>
      </c>
      <c r="G62" s="185" t="str">
        <f>IFERROR(VLOOKUP($A62,데이터입력!$A:$H,6,FALSE),"")</f>
        <v/>
      </c>
      <c r="H62" s="186" t="str">
        <f>IFERROR(VLOOKUP($A62,데이터입력!$A:$L,8,FALSE)+VLOOKUP($A62,데이터입력!$A:$L,9,FALSE)+VLOOKUP($A62,데이터입력!$A:$L,10,FALSE),"")</f>
        <v/>
      </c>
      <c r="I62" s="187" t="s">
        <v>135</v>
      </c>
      <c r="J62" s="187" t="s">
        <v>135</v>
      </c>
      <c r="K62" s="187" t="s">
        <v>135</v>
      </c>
      <c r="M62" s="182" t="str">
        <f>데이터입력!$AB$8</f>
        <v>00</v>
      </c>
      <c r="N62" s="185" t="str">
        <f>데이터입력!$AC$9</f>
        <v>일반사업[일반]</v>
      </c>
      <c r="O62" s="183" t="str">
        <f>IFERROR(VLOOKUP($A62,#REF!,4,FALSE),"")</f>
        <v/>
      </c>
      <c r="P62" s="183" t="str">
        <f>IFERROR(VLOOKUP($A62,#REF!,5,FALSE),"")</f>
        <v/>
      </c>
      <c r="Q62" s="789" t="str">
        <f>IFERROR(VLOOKUP($A62,#REF!,6,FALSE),"")</f>
        <v/>
      </c>
      <c r="R62" s="183" t="str">
        <f>IFERROR(VLOOKUP($A62,#REF!,7,FALSE),"")</f>
        <v/>
      </c>
      <c r="S62" s="183"/>
      <c r="T62" s="184" t="str">
        <f>IFERROR(VLOOKUP($A62,#REF!,9,FALSE),"")</f>
        <v/>
      </c>
      <c r="U62" s="184" t="str">
        <f>IFERROR(VLOOKUP($A62,#REF!,10,FALSE),"")</f>
        <v/>
      </c>
      <c r="V62" s="184" t="str">
        <f>IFERROR(VLOOKUP($A62,#REF!,11,FALSE),"")</f>
        <v/>
      </c>
      <c r="W62" s="184" t="str">
        <f>IFERROR(VLOOKUP($A62,#REF!,12,FALSE),"")</f>
        <v/>
      </c>
      <c r="X62" s="184" t="str">
        <f>IFERROR(VLOOKUP($A62,#REF!,13,FALSE),"")</f>
        <v/>
      </c>
    </row>
    <row r="63" spans="1:24">
      <c r="A63" s="172">
        <v>61</v>
      </c>
      <c r="B63" s="180" t="str">
        <f>IFERROR(IF(F63="06",데이터입력!$AB$8,IF(F63="07",데이터입력!$AD$8,IF(F63="05",데이터입력!$AF$8,데이터입력!$AB$8))),데이터입력!$AB$8)</f>
        <v>00</v>
      </c>
      <c r="C63" s="584" t="str">
        <f>데이터입력!$AC$9</f>
        <v>일반사업[일반]</v>
      </c>
      <c r="D63" s="185" t="str">
        <f>IFERROR(VLOOKUP($A63,데이터입력!$A:$H,4,FALSE),"")</f>
        <v/>
      </c>
      <c r="E63" s="185" t="str">
        <f>IFERROR(VLOOKUP($A63,데이터입력!$A:$H,2,FALSE),"")</f>
        <v/>
      </c>
      <c r="F63" s="185" t="str">
        <f>IFERROR(VLOOKUP($A63,데이터입력!$A:$H,5,FALSE),"")</f>
        <v/>
      </c>
      <c r="G63" s="185" t="str">
        <f>IFERROR(VLOOKUP($A63,데이터입력!$A:$H,6,FALSE),"")</f>
        <v/>
      </c>
      <c r="H63" s="186" t="str">
        <f>IFERROR(VLOOKUP($A63,데이터입력!$A:$L,8,FALSE)+VLOOKUP($A63,데이터입력!$A:$L,9,FALSE)+VLOOKUP($A63,데이터입력!$A:$L,10,FALSE),"")</f>
        <v/>
      </c>
      <c r="I63" s="181" t="s">
        <v>135</v>
      </c>
      <c r="J63" s="181" t="s">
        <v>135</v>
      </c>
      <c r="K63" s="181" t="s">
        <v>135</v>
      </c>
      <c r="M63" s="182" t="str">
        <f>데이터입력!$AB$8</f>
        <v>00</v>
      </c>
      <c r="N63" s="185" t="str">
        <f>데이터입력!$AC$9</f>
        <v>일반사업[일반]</v>
      </c>
      <c r="O63" s="183" t="str">
        <f>IFERROR(VLOOKUP($A63,#REF!,4,FALSE),"")</f>
        <v/>
      </c>
      <c r="P63" s="183" t="str">
        <f>IFERROR(VLOOKUP($A63,#REF!,5,FALSE),"")</f>
        <v/>
      </c>
      <c r="Q63" s="789" t="str">
        <f>IFERROR(VLOOKUP($A63,#REF!,6,FALSE),"")</f>
        <v/>
      </c>
      <c r="R63" s="183" t="str">
        <f>IFERROR(VLOOKUP($A63,#REF!,7,FALSE),"")</f>
        <v/>
      </c>
      <c r="S63" s="183"/>
      <c r="T63" s="184" t="str">
        <f>IFERROR(VLOOKUP($A63,#REF!,9,FALSE),"")</f>
        <v/>
      </c>
      <c r="U63" s="184" t="str">
        <f>IFERROR(VLOOKUP($A63,#REF!,10,FALSE),"")</f>
        <v/>
      </c>
      <c r="V63" s="184" t="str">
        <f>IFERROR(VLOOKUP($A63,#REF!,11,FALSE),"")</f>
        <v/>
      </c>
      <c r="W63" s="184" t="str">
        <f>IFERROR(VLOOKUP($A63,#REF!,12,FALSE),"")</f>
        <v/>
      </c>
      <c r="X63" s="184" t="str">
        <f>IFERROR(VLOOKUP($A63,#REF!,13,FALSE),"")</f>
        <v/>
      </c>
    </row>
    <row r="64" spans="1:24">
      <c r="A64" s="172">
        <v>62</v>
      </c>
      <c r="B64" s="180" t="str">
        <f>IFERROR(IF(F64="06",데이터입력!$AB$8,IF(F64="07",데이터입력!$AD$8,IF(F64="05",데이터입력!$AF$8,데이터입력!$AB$8))),데이터입력!$AB$8)</f>
        <v>00</v>
      </c>
      <c r="C64" s="584" t="str">
        <f>데이터입력!$AC$9</f>
        <v>일반사업[일반]</v>
      </c>
      <c r="D64" s="185" t="str">
        <f>IFERROR(VLOOKUP($A64,데이터입력!$A:$H,4,FALSE),"")</f>
        <v/>
      </c>
      <c r="E64" s="185" t="str">
        <f>IFERROR(VLOOKUP($A64,데이터입력!$A:$H,2,FALSE),"")</f>
        <v/>
      </c>
      <c r="F64" s="185" t="str">
        <f>IFERROR(VLOOKUP($A64,데이터입력!$A:$H,5,FALSE),"")</f>
        <v/>
      </c>
      <c r="G64" s="185" t="str">
        <f>IFERROR(VLOOKUP($A64,데이터입력!$A:$H,6,FALSE),"")</f>
        <v/>
      </c>
      <c r="H64" s="186" t="str">
        <f>IFERROR(VLOOKUP($A64,데이터입력!$A:$L,8,FALSE)+VLOOKUP($A64,데이터입력!$A:$L,9,FALSE)+VLOOKUP($A64,데이터입력!$A:$L,10,FALSE),"")</f>
        <v/>
      </c>
      <c r="I64" s="187" t="s">
        <v>135</v>
      </c>
      <c r="J64" s="187" t="s">
        <v>135</v>
      </c>
      <c r="K64" s="187" t="s">
        <v>135</v>
      </c>
      <c r="M64" s="182" t="str">
        <f>데이터입력!$AB$8</f>
        <v>00</v>
      </c>
      <c r="N64" s="185" t="str">
        <f>데이터입력!$AC$9</f>
        <v>일반사업[일반]</v>
      </c>
      <c r="O64" s="183" t="str">
        <f>IFERROR(VLOOKUP($A64,#REF!,4,FALSE),"")</f>
        <v/>
      </c>
      <c r="P64" s="183" t="str">
        <f>IFERROR(VLOOKUP($A64,#REF!,5,FALSE),"")</f>
        <v/>
      </c>
      <c r="Q64" s="789" t="str">
        <f>IFERROR(VLOOKUP($A64,#REF!,6,FALSE),"")</f>
        <v/>
      </c>
      <c r="R64" s="183" t="str">
        <f>IFERROR(VLOOKUP($A64,#REF!,7,FALSE),"")</f>
        <v/>
      </c>
      <c r="S64" s="183"/>
      <c r="T64" s="184" t="str">
        <f>IFERROR(VLOOKUP($A64,#REF!,9,FALSE),"")</f>
        <v/>
      </c>
      <c r="U64" s="184" t="str">
        <f>IFERROR(VLOOKUP($A64,#REF!,10,FALSE),"")</f>
        <v/>
      </c>
      <c r="V64" s="184" t="str">
        <f>IFERROR(VLOOKUP($A64,#REF!,11,FALSE),"")</f>
        <v/>
      </c>
      <c r="W64" s="184" t="str">
        <f>IFERROR(VLOOKUP($A64,#REF!,12,FALSE),"")</f>
        <v/>
      </c>
      <c r="X64" s="184" t="str">
        <f>IFERROR(VLOOKUP($A64,#REF!,13,FALSE),"")</f>
        <v/>
      </c>
    </row>
    <row r="65" spans="1:24">
      <c r="A65" s="172">
        <v>63</v>
      </c>
      <c r="B65" s="180" t="str">
        <f>IFERROR(IF(F65="06",데이터입력!$AB$8,IF(F65="07",데이터입력!$AD$8,IF(F65="05",데이터입력!$AF$8,데이터입력!$AB$8))),데이터입력!$AB$8)</f>
        <v>00</v>
      </c>
      <c r="C65" s="584" t="str">
        <f>데이터입력!$AC$9</f>
        <v>일반사업[일반]</v>
      </c>
      <c r="D65" s="185" t="str">
        <f>IFERROR(VLOOKUP($A65,데이터입력!$A:$H,4,FALSE),"")</f>
        <v/>
      </c>
      <c r="E65" s="185" t="str">
        <f>IFERROR(VLOOKUP($A65,데이터입력!$A:$H,2,FALSE),"")</f>
        <v/>
      </c>
      <c r="F65" s="185" t="str">
        <f>IFERROR(VLOOKUP($A65,데이터입력!$A:$H,5,FALSE),"")</f>
        <v/>
      </c>
      <c r="G65" s="185" t="str">
        <f>IFERROR(VLOOKUP($A65,데이터입력!$A:$H,6,FALSE),"")</f>
        <v/>
      </c>
      <c r="H65" s="186" t="str">
        <f>IFERROR(VLOOKUP($A65,데이터입력!$A:$L,8,FALSE)+VLOOKUP($A65,데이터입력!$A:$L,9,FALSE)+VLOOKUP($A65,데이터입력!$A:$L,10,FALSE),"")</f>
        <v/>
      </c>
      <c r="I65" s="181" t="s">
        <v>135</v>
      </c>
      <c r="J65" s="181" t="s">
        <v>135</v>
      </c>
      <c r="K65" s="181" t="s">
        <v>135</v>
      </c>
      <c r="M65" s="182" t="str">
        <f>데이터입력!$AB$8</f>
        <v>00</v>
      </c>
      <c r="N65" s="185" t="str">
        <f>데이터입력!$AC$9</f>
        <v>일반사업[일반]</v>
      </c>
      <c r="O65" s="183" t="str">
        <f>IFERROR(VLOOKUP($A65,#REF!,4,FALSE),"")</f>
        <v/>
      </c>
      <c r="P65" s="183" t="str">
        <f>IFERROR(VLOOKUP($A65,#REF!,5,FALSE),"")</f>
        <v/>
      </c>
      <c r="Q65" s="789" t="str">
        <f>IFERROR(VLOOKUP($A65,#REF!,6,FALSE),"")</f>
        <v/>
      </c>
      <c r="R65" s="183" t="str">
        <f>IFERROR(VLOOKUP($A65,#REF!,7,FALSE),"")</f>
        <v/>
      </c>
      <c r="S65" s="183"/>
      <c r="T65" s="184" t="str">
        <f>IFERROR(VLOOKUP($A65,#REF!,9,FALSE),"")</f>
        <v/>
      </c>
      <c r="U65" s="184" t="str">
        <f>IFERROR(VLOOKUP($A65,#REF!,10,FALSE),"")</f>
        <v/>
      </c>
      <c r="V65" s="184" t="str">
        <f>IFERROR(VLOOKUP($A65,#REF!,11,FALSE),"")</f>
        <v/>
      </c>
      <c r="W65" s="184" t="str">
        <f>IFERROR(VLOOKUP($A65,#REF!,12,FALSE),"")</f>
        <v/>
      </c>
      <c r="X65" s="184" t="str">
        <f>IFERROR(VLOOKUP($A65,#REF!,13,FALSE),"")</f>
        <v/>
      </c>
    </row>
    <row r="66" spans="1:24">
      <c r="A66" s="172">
        <v>64</v>
      </c>
      <c r="B66" s="180" t="str">
        <f>IFERROR(IF(F66="06",데이터입력!$AB$8,IF(F66="07",데이터입력!$AD$8,IF(F66="05",데이터입력!$AF$8,데이터입력!$AB$8))),데이터입력!$AB$8)</f>
        <v>00</v>
      </c>
      <c r="C66" s="584" t="str">
        <f>데이터입력!$AC$9</f>
        <v>일반사업[일반]</v>
      </c>
      <c r="D66" s="185" t="str">
        <f>IFERROR(VLOOKUP($A66,데이터입력!$A:$H,4,FALSE),"")</f>
        <v/>
      </c>
      <c r="E66" s="185" t="str">
        <f>IFERROR(VLOOKUP($A66,데이터입력!$A:$H,2,FALSE),"")</f>
        <v/>
      </c>
      <c r="F66" s="185" t="str">
        <f>IFERROR(VLOOKUP($A66,데이터입력!$A:$H,5,FALSE),"")</f>
        <v/>
      </c>
      <c r="G66" s="185" t="str">
        <f>IFERROR(VLOOKUP($A66,데이터입력!$A:$H,6,FALSE),"")</f>
        <v/>
      </c>
      <c r="H66" s="186" t="str">
        <f>IFERROR(VLOOKUP($A66,데이터입력!$A:$L,8,FALSE)+VLOOKUP($A66,데이터입력!$A:$L,9,FALSE)+VLOOKUP($A66,데이터입력!$A:$L,10,FALSE),"")</f>
        <v/>
      </c>
      <c r="I66" s="187" t="s">
        <v>135</v>
      </c>
      <c r="J66" s="187" t="s">
        <v>135</v>
      </c>
      <c r="K66" s="187" t="s">
        <v>135</v>
      </c>
      <c r="M66" s="182" t="str">
        <f>데이터입력!$AB$8</f>
        <v>00</v>
      </c>
      <c r="N66" s="185" t="str">
        <f>데이터입력!$AC$9</f>
        <v>일반사업[일반]</v>
      </c>
      <c r="O66" s="183" t="str">
        <f>IFERROR(VLOOKUP($A66,#REF!,4,FALSE),"")</f>
        <v/>
      </c>
      <c r="P66" s="183" t="str">
        <f>IFERROR(VLOOKUP($A66,#REF!,5,FALSE),"")</f>
        <v/>
      </c>
      <c r="Q66" s="789" t="str">
        <f>IFERROR(VLOOKUP($A66,#REF!,6,FALSE),"")</f>
        <v/>
      </c>
      <c r="R66" s="183" t="str">
        <f>IFERROR(VLOOKUP($A66,#REF!,7,FALSE),"")</f>
        <v/>
      </c>
      <c r="S66" s="183"/>
      <c r="T66" s="184" t="str">
        <f>IFERROR(VLOOKUP($A66,#REF!,9,FALSE),"")</f>
        <v/>
      </c>
      <c r="U66" s="184" t="str">
        <f>IFERROR(VLOOKUP($A66,#REF!,10,FALSE),"")</f>
        <v/>
      </c>
      <c r="V66" s="184" t="str">
        <f>IFERROR(VLOOKUP($A66,#REF!,11,FALSE),"")</f>
        <v/>
      </c>
      <c r="W66" s="184" t="str">
        <f>IFERROR(VLOOKUP($A66,#REF!,12,FALSE),"")</f>
        <v/>
      </c>
      <c r="X66" s="184" t="str">
        <f>IFERROR(VLOOKUP($A66,#REF!,13,FALSE),"")</f>
        <v/>
      </c>
    </row>
    <row r="67" spans="1:24">
      <c r="A67" s="172">
        <v>65</v>
      </c>
      <c r="B67" s="180" t="str">
        <f>IFERROR(IF(F67="06",데이터입력!$AB$8,IF(F67="07",데이터입력!$AD$8,IF(F67="05",데이터입력!$AF$8,데이터입력!$AB$8))),데이터입력!$AB$8)</f>
        <v>00</v>
      </c>
      <c r="C67" s="584" t="str">
        <f>데이터입력!$AC$9</f>
        <v>일반사업[일반]</v>
      </c>
      <c r="D67" s="185" t="str">
        <f>IFERROR(VLOOKUP($A67,데이터입력!$A:$H,4,FALSE),"")</f>
        <v/>
      </c>
      <c r="E67" s="185" t="str">
        <f>IFERROR(VLOOKUP($A67,데이터입력!$A:$H,2,FALSE),"")</f>
        <v/>
      </c>
      <c r="F67" s="185" t="str">
        <f>IFERROR(VLOOKUP($A67,데이터입력!$A:$H,5,FALSE),"")</f>
        <v/>
      </c>
      <c r="G67" s="185" t="str">
        <f>IFERROR(VLOOKUP($A67,데이터입력!$A:$H,6,FALSE),"")</f>
        <v/>
      </c>
      <c r="H67" s="186" t="str">
        <f>IFERROR(VLOOKUP($A67,데이터입력!$A:$L,8,FALSE)+VLOOKUP($A67,데이터입력!$A:$L,9,FALSE)+VLOOKUP($A67,데이터입력!$A:$L,10,FALSE),"")</f>
        <v/>
      </c>
      <c r="I67" s="181" t="s">
        <v>135</v>
      </c>
      <c r="J67" s="181" t="s">
        <v>135</v>
      </c>
      <c r="K67" s="181" t="s">
        <v>135</v>
      </c>
      <c r="M67" s="182" t="str">
        <f>데이터입력!$AB$8</f>
        <v>00</v>
      </c>
      <c r="N67" s="185" t="str">
        <f>데이터입력!$AC$9</f>
        <v>일반사업[일반]</v>
      </c>
      <c r="O67" s="183" t="str">
        <f>IFERROR(VLOOKUP($A67,#REF!,4,FALSE),"")</f>
        <v/>
      </c>
      <c r="P67" s="183" t="str">
        <f>IFERROR(VLOOKUP($A67,#REF!,5,FALSE),"")</f>
        <v/>
      </c>
      <c r="Q67" s="789" t="str">
        <f>IFERROR(VLOOKUP($A67,#REF!,6,FALSE),"")</f>
        <v/>
      </c>
      <c r="R67" s="183" t="str">
        <f>IFERROR(VLOOKUP($A67,#REF!,7,FALSE),"")</f>
        <v/>
      </c>
      <c r="S67" s="183"/>
      <c r="T67" s="184" t="str">
        <f>IFERROR(VLOOKUP($A67,#REF!,9,FALSE),"")</f>
        <v/>
      </c>
      <c r="U67" s="184" t="str">
        <f>IFERROR(VLOOKUP($A67,#REF!,10,FALSE),"")</f>
        <v/>
      </c>
      <c r="V67" s="184" t="str">
        <f>IFERROR(VLOOKUP($A67,#REF!,11,FALSE),"")</f>
        <v/>
      </c>
      <c r="W67" s="184" t="str">
        <f>IFERROR(VLOOKUP($A67,#REF!,12,FALSE),"")</f>
        <v/>
      </c>
      <c r="X67" s="184" t="str">
        <f>IFERROR(VLOOKUP($A67,#REF!,13,FALSE),"")</f>
        <v/>
      </c>
    </row>
    <row r="68" spans="1:24">
      <c r="A68" s="172">
        <v>66</v>
      </c>
      <c r="B68" s="180" t="str">
        <f>IFERROR(IF(F68="06",데이터입력!$AB$8,IF(F68="07",데이터입력!$AD$8,IF(F68="05",데이터입력!$AF$8,데이터입력!$AB$8))),데이터입력!$AB$8)</f>
        <v>00</v>
      </c>
      <c r="C68" s="584" t="str">
        <f>데이터입력!$AC$9</f>
        <v>일반사업[일반]</v>
      </c>
      <c r="D68" s="185" t="str">
        <f>IFERROR(VLOOKUP($A68,데이터입력!$A:$H,4,FALSE),"")</f>
        <v/>
      </c>
      <c r="E68" s="185" t="str">
        <f>IFERROR(VLOOKUP($A68,데이터입력!$A:$H,2,FALSE),"")</f>
        <v/>
      </c>
      <c r="F68" s="185" t="str">
        <f>IFERROR(VLOOKUP($A68,데이터입력!$A:$H,5,FALSE),"")</f>
        <v/>
      </c>
      <c r="G68" s="185" t="str">
        <f>IFERROR(VLOOKUP($A68,데이터입력!$A:$H,6,FALSE),"")</f>
        <v/>
      </c>
      <c r="H68" s="186" t="str">
        <f>IFERROR(VLOOKUP($A68,데이터입력!$A:$L,8,FALSE)+VLOOKUP($A68,데이터입력!$A:$L,9,FALSE)+VLOOKUP($A68,데이터입력!$A:$L,10,FALSE),"")</f>
        <v/>
      </c>
      <c r="I68" s="187" t="s">
        <v>135</v>
      </c>
      <c r="J68" s="187" t="s">
        <v>135</v>
      </c>
      <c r="K68" s="187" t="s">
        <v>135</v>
      </c>
      <c r="M68" s="182" t="str">
        <f>데이터입력!$AB$8</f>
        <v>00</v>
      </c>
      <c r="N68" s="185" t="str">
        <f>데이터입력!$AC$9</f>
        <v>일반사업[일반]</v>
      </c>
      <c r="O68" s="183" t="str">
        <f>IFERROR(VLOOKUP($A68,#REF!,4,FALSE),"")</f>
        <v/>
      </c>
      <c r="P68" s="183" t="str">
        <f>IFERROR(VLOOKUP($A68,#REF!,5,FALSE),"")</f>
        <v/>
      </c>
      <c r="Q68" s="789" t="str">
        <f>IFERROR(VLOOKUP($A68,#REF!,6,FALSE),"")</f>
        <v/>
      </c>
      <c r="R68" s="183" t="str">
        <f>IFERROR(VLOOKUP($A68,#REF!,7,FALSE),"")</f>
        <v/>
      </c>
      <c r="S68" s="183"/>
      <c r="T68" s="184" t="str">
        <f>IFERROR(VLOOKUP($A68,#REF!,9,FALSE),"")</f>
        <v/>
      </c>
      <c r="U68" s="184" t="str">
        <f>IFERROR(VLOOKUP($A68,#REF!,10,FALSE),"")</f>
        <v/>
      </c>
      <c r="V68" s="184" t="str">
        <f>IFERROR(VLOOKUP($A68,#REF!,11,FALSE),"")</f>
        <v/>
      </c>
      <c r="W68" s="184" t="str">
        <f>IFERROR(VLOOKUP($A68,#REF!,12,FALSE),"")</f>
        <v/>
      </c>
      <c r="X68" s="184" t="str">
        <f>IFERROR(VLOOKUP($A68,#REF!,13,FALSE),"")</f>
        <v/>
      </c>
    </row>
    <row r="69" spans="1:24">
      <c r="A69" s="172">
        <v>67</v>
      </c>
      <c r="B69" s="180" t="str">
        <f>IFERROR(IF(F69="06",데이터입력!$AB$8,IF(F69="07",데이터입력!$AD$8,IF(F69="05",데이터입력!$AF$8,데이터입력!$AB$8))),데이터입력!$AB$8)</f>
        <v>00</v>
      </c>
      <c r="C69" s="584" t="str">
        <f>데이터입력!$AC$9</f>
        <v>일반사업[일반]</v>
      </c>
      <c r="D69" s="185" t="str">
        <f>IFERROR(VLOOKUP($A69,데이터입력!$A:$H,4,FALSE),"")</f>
        <v/>
      </c>
      <c r="E69" s="185" t="str">
        <f>IFERROR(VLOOKUP($A69,데이터입력!$A:$H,2,FALSE),"")</f>
        <v/>
      </c>
      <c r="F69" s="185" t="str">
        <f>IFERROR(VLOOKUP($A69,데이터입력!$A:$H,5,FALSE),"")</f>
        <v/>
      </c>
      <c r="G69" s="185" t="str">
        <f>IFERROR(VLOOKUP($A69,데이터입력!$A:$H,6,FALSE),"")</f>
        <v/>
      </c>
      <c r="H69" s="186" t="str">
        <f>IFERROR(VLOOKUP($A69,데이터입력!$A:$L,8,FALSE)+VLOOKUP($A69,데이터입력!$A:$L,9,FALSE)+VLOOKUP($A69,데이터입력!$A:$L,10,FALSE),"")</f>
        <v/>
      </c>
      <c r="I69" s="181" t="s">
        <v>135</v>
      </c>
      <c r="J69" s="181" t="s">
        <v>135</v>
      </c>
      <c r="K69" s="181" t="s">
        <v>135</v>
      </c>
      <c r="M69" s="182" t="str">
        <f>데이터입력!$AB$8</f>
        <v>00</v>
      </c>
      <c r="N69" s="185" t="str">
        <f>데이터입력!$AC$9</f>
        <v>일반사업[일반]</v>
      </c>
      <c r="O69" s="183" t="str">
        <f>IFERROR(VLOOKUP($A69,#REF!,4,FALSE),"")</f>
        <v/>
      </c>
      <c r="P69" s="183" t="str">
        <f>IFERROR(VLOOKUP($A69,#REF!,5,FALSE),"")</f>
        <v/>
      </c>
      <c r="Q69" s="789" t="str">
        <f>IFERROR(VLOOKUP($A69,#REF!,6,FALSE),"")</f>
        <v/>
      </c>
      <c r="R69" s="183" t="str">
        <f>IFERROR(VLOOKUP($A69,#REF!,7,FALSE),"")</f>
        <v/>
      </c>
      <c r="S69" s="183"/>
      <c r="T69" s="184" t="str">
        <f>IFERROR(VLOOKUP($A69,#REF!,9,FALSE),"")</f>
        <v/>
      </c>
      <c r="U69" s="184" t="str">
        <f>IFERROR(VLOOKUP($A69,#REF!,10,FALSE),"")</f>
        <v/>
      </c>
      <c r="V69" s="184" t="str">
        <f>IFERROR(VLOOKUP($A69,#REF!,11,FALSE),"")</f>
        <v/>
      </c>
      <c r="W69" s="184" t="str">
        <f>IFERROR(VLOOKUP($A69,#REF!,12,FALSE),"")</f>
        <v/>
      </c>
      <c r="X69" s="184" t="str">
        <f>IFERROR(VLOOKUP($A69,#REF!,13,FALSE),"")</f>
        <v/>
      </c>
    </row>
    <row r="70" spans="1:24">
      <c r="A70" s="172">
        <v>68</v>
      </c>
      <c r="B70" s="180" t="str">
        <f>IFERROR(IF(F70="06",데이터입력!$AB$8,IF(F70="07",데이터입력!$AD$8,IF(F70="05",데이터입력!$AF$8,데이터입력!$AB$8))),데이터입력!$AB$8)</f>
        <v>00</v>
      </c>
      <c r="C70" s="584" t="str">
        <f>데이터입력!$AC$9</f>
        <v>일반사업[일반]</v>
      </c>
      <c r="D70" s="185" t="str">
        <f>IFERROR(VLOOKUP($A70,데이터입력!$A:$H,4,FALSE),"")</f>
        <v/>
      </c>
      <c r="E70" s="185" t="str">
        <f>IFERROR(VLOOKUP($A70,데이터입력!$A:$H,2,FALSE),"")</f>
        <v/>
      </c>
      <c r="F70" s="185" t="str">
        <f>IFERROR(VLOOKUP($A70,데이터입력!$A:$H,5,FALSE),"")</f>
        <v/>
      </c>
      <c r="G70" s="185" t="str">
        <f>IFERROR(VLOOKUP($A70,데이터입력!$A:$H,6,FALSE),"")</f>
        <v/>
      </c>
      <c r="H70" s="186" t="str">
        <f>IFERROR(VLOOKUP($A70,데이터입력!$A:$L,8,FALSE)+VLOOKUP($A70,데이터입력!$A:$L,9,FALSE)+VLOOKUP($A70,데이터입력!$A:$L,10,FALSE),"")</f>
        <v/>
      </c>
      <c r="I70" s="187" t="s">
        <v>135</v>
      </c>
      <c r="J70" s="187" t="s">
        <v>135</v>
      </c>
      <c r="K70" s="187" t="s">
        <v>135</v>
      </c>
      <c r="M70" s="182" t="str">
        <f>데이터입력!$AB$8</f>
        <v>00</v>
      </c>
      <c r="N70" s="185" t="str">
        <f>데이터입력!$AC$9</f>
        <v>일반사업[일반]</v>
      </c>
      <c r="O70" s="183" t="str">
        <f>IFERROR(VLOOKUP($A70,#REF!,4,FALSE),"")</f>
        <v/>
      </c>
      <c r="P70" s="183" t="str">
        <f>IFERROR(VLOOKUP($A70,#REF!,5,FALSE),"")</f>
        <v/>
      </c>
      <c r="Q70" s="789" t="str">
        <f>IFERROR(VLOOKUP($A70,#REF!,6,FALSE),"")</f>
        <v/>
      </c>
      <c r="R70" s="183" t="str">
        <f>IFERROR(VLOOKUP($A70,#REF!,7,FALSE),"")</f>
        <v/>
      </c>
      <c r="S70" s="183"/>
      <c r="T70" s="184" t="str">
        <f>IFERROR(VLOOKUP($A70,#REF!,9,FALSE),"")</f>
        <v/>
      </c>
      <c r="U70" s="184" t="str">
        <f>IFERROR(VLOOKUP($A70,#REF!,10,FALSE),"")</f>
        <v/>
      </c>
      <c r="V70" s="184" t="str">
        <f>IFERROR(VLOOKUP($A70,#REF!,11,FALSE),"")</f>
        <v/>
      </c>
      <c r="W70" s="184" t="str">
        <f>IFERROR(VLOOKUP($A70,#REF!,12,FALSE),"")</f>
        <v/>
      </c>
      <c r="X70" s="184" t="str">
        <f>IFERROR(VLOOKUP($A70,#REF!,13,FALSE),"")</f>
        <v/>
      </c>
    </row>
    <row r="71" spans="1:24">
      <c r="A71" s="172">
        <v>69</v>
      </c>
      <c r="B71" s="180" t="str">
        <f>IFERROR(IF(F71="06",데이터입력!$AB$8,IF(F71="07",데이터입력!$AD$8,IF(F71="05",데이터입력!$AF$8,데이터입력!$AB$8))),데이터입력!$AB$8)</f>
        <v>00</v>
      </c>
      <c r="C71" s="584" t="str">
        <f>데이터입력!$AC$9</f>
        <v>일반사업[일반]</v>
      </c>
      <c r="D71" s="185" t="str">
        <f>IFERROR(VLOOKUP($A71,데이터입력!$A:$H,4,FALSE),"")</f>
        <v/>
      </c>
      <c r="E71" s="185" t="str">
        <f>IFERROR(VLOOKUP($A71,데이터입력!$A:$H,2,FALSE),"")</f>
        <v/>
      </c>
      <c r="F71" s="185" t="str">
        <f>IFERROR(VLOOKUP($A71,데이터입력!$A:$H,5,FALSE),"")</f>
        <v/>
      </c>
      <c r="G71" s="185" t="str">
        <f>IFERROR(VLOOKUP($A71,데이터입력!$A:$H,6,FALSE),"")</f>
        <v/>
      </c>
      <c r="H71" s="186" t="str">
        <f>IFERROR(VLOOKUP($A71,데이터입력!$A:$L,8,FALSE)+VLOOKUP($A71,데이터입력!$A:$L,9,FALSE)+VLOOKUP($A71,데이터입력!$A:$L,10,FALSE),"")</f>
        <v/>
      </c>
      <c r="I71" s="181" t="s">
        <v>135</v>
      </c>
      <c r="J71" s="181" t="s">
        <v>135</v>
      </c>
      <c r="K71" s="181" t="s">
        <v>135</v>
      </c>
      <c r="M71" s="182" t="str">
        <f>데이터입력!$AB$8</f>
        <v>00</v>
      </c>
      <c r="N71" s="185" t="str">
        <f>데이터입력!$AC$9</f>
        <v>일반사업[일반]</v>
      </c>
      <c r="O71" s="183" t="str">
        <f>IFERROR(VLOOKUP($A71,#REF!,4,FALSE),"")</f>
        <v/>
      </c>
      <c r="P71" s="183" t="str">
        <f>IFERROR(VLOOKUP($A71,#REF!,5,FALSE),"")</f>
        <v/>
      </c>
      <c r="Q71" s="789" t="str">
        <f>IFERROR(VLOOKUP($A71,#REF!,6,FALSE),"")</f>
        <v/>
      </c>
      <c r="R71" s="183" t="str">
        <f>IFERROR(VLOOKUP($A71,#REF!,7,FALSE),"")</f>
        <v/>
      </c>
      <c r="S71" s="183"/>
      <c r="T71" s="184" t="str">
        <f>IFERROR(VLOOKUP($A71,#REF!,9,FALSE),"")</f>
        <v/>
      </c>
      <c r="U71" s="184" t="str">
        <f>IFERROR(VLOOKUP($A71,#REF!,10,FALSE),"")</f>
        <v/>
      </c>
      <c r="V71" s="184" t="str">
        <f>IFERROR(VLOOKUP($A71,#REF!,11,FALSE),"")</f>
        <v/>
      </c>
      <c r="W71" s="184" t="str">
        <f>IFERROR(VLOOKUP($A71,#REF!,12,FALSE),"")</f>
        <v/>
      </c>
      <c r="X71" s="184" t="str">
        <f>IFERROR(VLOOKUP($A71,#REF!,13,FALSE),"")</f>
        <v/>
      </c>
    </row>
    <row r="72" spans="1:24">
      <c r="A72" s="172">
        <v>70</v>
      </c>
      <c r="B72" s="180" t="str">
        <f>IFERROR(IF(F72="06",데이터입력!$AB$8,IF(F72="07",데이터입력!$AD$8,IF(F72="05",데이터입력!$AF$8,데이터입력!$AB$8))),데이터입력!$AB$8)</f>
        <v>00</v>
      </c>
      <c r="C72" s="584" t="str">
        <f>데이터입력!$AC$9</f>
        <v>일반사업[일반]</v>
      </c>
      <c r="D72" s="185" t="str">
        <f>IFERROR(VLOOKUP($A72,데이터입력!$A:$H,4,FALSE),"")</f>
        <v/>
      </c>
      <c r="E72" s="185" t="str">
        <f>IFERROR(VLOOKUP($A72,데이터입력!$A:$H,2,FALSE),"")</f>
        <v/>
      </c>
      <c r="F72" s="185" t="str">
        <f>IFERROR(VLOOKUP($A72,데이터입력!$A:$H,5,FALSE),"")</f>
        <v/>
      </c>
      <c r="G72" s="185" t="str">
        <f>IFERROR(VLOOKUP($A72,데이터입력!$A:$H,6,FALSE),"")</f>
        <v/>
      </c>
      <c r="H72" s="186" t="str">
        <f>IFERROR(VLOOKUP($A72,데이터입력!$A:$L,8,FALSE)+VLOOKUP($A72,데이터입력!$A:$L,9,FALSE)+VLOOKUP($A72,데이터입력!$A:$L,10,FALSE),"")</f>
        <v/>
      </c>
      <c r="I72" s="181" t="s">
        <v>135</v>
      </c>
      <c r="J72" s="181" t="s">
        <v>135</v>
      </c>
      <c r="K72" s="181" t="s">
        <v>135</v>
      </c>
      <c r="M72" s="182" t="str">
        <f>데이터입력!$AB$8</f>
        <v>00</v>
      </c>
      <c r="N72" s="185" t="str">
        <f>데이터입력!$AC$9</f>
        <v>일반사업[일반]</v>
      </c>
      <c r="O72" s="183" t="str">
        <f>IFERROR(VLOOKUP($A72,#REF!,4,FALSE),"")</f>
        <v/>
      </c>
      <c r="P72" s="183" t="str">
        <f>IFERROR(VLOOKUP($A72,#REF!,5,FALSE),"")</f>
        <v/>
      </c>
      <c r="Q72" s="789" t="str">
        <f>IFERROR(VLOOKUP($A72,#REF!,6,FALSE),"")</f>
        <v/>
      </c>
      <c r="R72" s="183" t="str">
        <f>IFERROR(VLOOKUP($A72,#REF!,7,FALSE),"")</f>
        <v/>
      </c>
      <c r="S72" s="183"/>
      <c r="T72" s="184" t="str">
        <f>IFERROR(VLOOKUP($A72,#REF!,9,FALSE),"")</f>
        <v/>
      </c>
      <c r="U72" s="184" t="str">
        <f>IFERROR(VLOOKUP($A72,#REF!,10,FALSE),"")</f>
        <v/>
      </c>
      <c r="V72" s="184" t="str">
        <f>IFERROR(VLOOKUP($A72,#REF!,11,FALSE),"")</f>
        <v/>
      </c>
      <c r="W72" s="184" t="str">
        <f>IFERROR(VLOOKUP($A72,#REF!,12,FALSE),"")</f>
        <v/>
      </c>
      <c r="X72" s="184" t="str">
        <f>IFERROR(VLOOKUP($A72,#REF!,13,FALSE),"")</f>
        <v/>
      </c>
    </row>
    <row r="73" spans="1:24">
      <c r="A73" s="172">
        <v>71</v>
      </c>
      <c r="B73" s="180" t="str">
        <f>IFERROR(IF(F73="06",데이터입력!$AB$8,IF(F73="07",데이터입력!$AD$8,IF(F73="05",데이터입력!$AF$8,데이터입력!$AB$8))),데이터입력!$AB$8)</f>
        <v>00</v>
      </c>
      <c r="C73" s="584" t="str">
        <f>데이터입력!$AC$9</f>
        <v>일반사업[일반]</v>
      </c>
      <c r="D73" s="185" t="str">
        <f>IFERROR(VLOOKUP($A73,데이터입력!$A:$H,4,FALSE),"")</f>
        <v/>
      </c>
      <c r="E73" s="185" t="str">
        <f>IFERROR(VLOOKUP($A73,데이터입력!$A:$H,2,FALSE),"")</f>
        <v/>
      </c>
      <c r="F73" s="185" t="str">
        <f>IFERROR(VLOOKUP($A73,데이터입력!$A:$H,5,FALSE),"")</f>
        <v/>
      </c>
      <c r="G73" s="185" t="str">
        <f>IFERROR(VLOOKUP($A73,데이터입력!$A:$H,6,FALSE),"")</f>
        <v/>
      </c>
      <c r="H73" s="186" t="str">
        <f>IFERROR(VLOOKUP($A73,데이터입력!$A:$L,8,FALSE)+VLOOKUP($A73,데이터입력!$A:$L,9,FALSE)+VLOOKUP($A73,데이터입력!$A:$L,10,FALSE),"")</f>
        <v/>
      </c>
      <c r="I73" s="181" t="s">
        <v>135</v>
      </c>
      <c r="J73" s="181" t="s">
        <v>135</v>
      </c>
      <c r="K73" s="181" t="s">
        <v>135</v>
      </c>
      <c r="M73" s="182" t="str">
        <f>데이터입력!$AB$8</f>
        <v>00</v>
      </c>
      <c r="N73" s="185" t="str">
        <f>데이터입력!$AC$9</f>
        <v>일반사업[일반]</v>
      </c>
      <c r="O73" s="183" t="str">
        <f>IFERROR(VLOOKUP($A73,#REF!,4,FALSE),"")</f>
        <v/>
      </c>
      <c r="P73" s="183" t="str">
        <f>IFERROR(VLOOKUP($A73,#REF!,5,FALSE),"")</f>
        <v/>
      </c>
      <c r="Q73" s="789" t="str">
        <f>IFERROR(VLOOKUP($A73,#REF!,6,FALSE),"")</f>
        <v/>
      </c>
      <c r="R73" s="183" t="str">
        <f>IFERROR(VLOOKUP($A73,#REF!,7,FALSE),"")</f>
        <v/>
      </c>
      <c r="S73" s="183"/>
      <c r="T73" s="184" t="str">
        <f>IFERROR(VLOOKUP($A73,#REF!,9,FALSE),"")</f>
        <v/>
      </c>
      <c r="U73" s="184" t="str">
        <f>IFERROR(VLOOKUP($A73,#REF!,10,FALSE),"")</f>
        <v/>
      </c>
      <c r="V73" s="184" t="str">
        <f>IFERROR(VLOOKUP($A73,#REF!,11,FALSE),"")</f>
        <v/>
      </c>
      <c r="W73" s="184" t="str">
        <f>IFERROR(VLOOKUP($A73,#REF!,12,FALSE),"")</f>
        <v/>
      </c>
      <c r="X73" s="184" t="str">
        <f>IFERROR(VLOOKUP($A73,#REF!,13,FALSE),"")</f>
        <v/>
      </c>
    </row>
    <row r="74" spans="1:24">
      <c r="A74" s="172">
        <v>72</v>
      </c>
      <c r="B74" s="180" t="str">
        <f>IFERROR(IF(F74="06",데이터입력!$AB$8,IF(F74="07",데이터입력!$AD$8,IF(F74="05",데이터입력!$AF$8,데이터입력!$AB$8))),데이터입력!$AB$8)</f>
        <v>00</v>
      </c>
      <c r="C74" s="584" t="str">
        <f>데이터입력!$AC$9</f>
        <v>일반사업[일반]</v>
      </c>
      <c r="D74" s="185" t="str">
        <f>IFERROR(VLOOKUP($A74,데이터입력!$A:$H,4,FALSE),"")</f>
        <v/>
      </c>
      <c r="E74" s="185" t="str">
        <f>IFERROR(VLOOKUP($A74,데이터입력!$A:$H,2,FALSE),"")</f>
        <v/>
      </c>
      <c r="F74" s="185" t="str">
        <f>IFERROR(VLOOKUP($A74,데이터입력!$A:$H,5,FALSE),"")</f>
        <v/>
      </c>
      <c r="G74" s="185" t="str">
        <f>IFERROR(VLOOKUP($A74,데이터입력!$A:$H,6,FALSE),"")</f>
        <v/>
      </c>
      <c r="H74" s="186" t="str">
        <f>IFERROR(VLOOKUP($A74,데이터입력!$A:$L,8,FALSE)+VLOOKUP($A74,데이터입력!$A:$L,9,FALSE)+VLOOKUP($A74,데이터입력!$A:$L,10,FALSE),"")</f>
        <v/>
      </c>
      <c r="I74" s="181" t="s">
        <v>135</v>
      </c>
      <c r="J74" s="181" t="s">
        <v>135</v>
      </c>
      <c r="K74" s="181" t="s">
        <v>135</v>
      </c>
      <c r="M74" s="182" t="str">
        <f>데이터입력!$AB$8</f>
        <v>00</v>
      </c>
      <c r="N74" s="185" t="str">
        <f>데이터입력!$AC$9</f>
        <v>일반사업[일반]</v>
      </c>
      <c r="O74" s="183" t="str">
        <f>IFERROR(VLOOKUP($A74,#REF!,4,FALSE),"")</f>
        <v/>
      </c>
      <c r="P74" s="183" t="str">
        <f>IFERROR(VLOOKUP($A74,#REF!,5,FALSE),"")</f>
        <v/>
      </c>
      <c r="Q74" s="789" t="str">
        <f>IFERROR(VLOOKUP($A74,#REF!,6,FALSE),"")</f>
        <v/>
      </c>
      <c r="R74" s="183" t="str">
        <f>IFERROR(VLOOKUP($A74,#REF!,7,FALSE),"")</f>
        <v/>
      </c>
      <c r="S74" s="183"/>
      <c r="T74" s="184" t="str">
        <f>IFERROR(VLOOKUP($A74,#REF!,9,FALSE),"")</f>
        <v/>
      </c>
      <c r="U74" s="184" t="str">
        <f>IFERROR(VLOOKUP($A74,#REF!,10,FALSE),"")</f>
        <v/>
      </c>
      <c r="V74" s="184" t="str">
        <f>IFERROR(VLOOKUP($A74,#REF!,11,FALSE),"")</f>
        <v/>
      </c>
      <c r="W74" s="184" t="str">
        <f>IFERROR(VLOOKUP($A74,#REF!,12,FALSE),"")</f>
        <v/>
      </c>
      <c r="X74" s="184" t="str">
        <f>IFERROR(VLOOKUP($A74,#REF!,13,FALSE),"")</f>
        <v/>
      </c>
    </row>
    <row r="75" spans="1:24">
      <c r="A75" s="172">
        <v>73</v>
      </c>
      <c r="B75" s="180" t="str">
        <f>IFERROR(IF(F75="06",데이터입력!$AB$8,IF(F75="07",데이터입력!$AD$8,IF(F75="05",데이터입력!$AF$8,데이터입력!$AB$8))),데이터입력!$AB$8)</f>
        <v>00</v>
      </c>
      <c r="C75" s="584" t="str">
        <f>데이터입력!$AC$9</f>
        <v>일반사업[일반]</v>
      </c>
      <c r="D75" s="185" t="str">
        <f>IFERROR(VLOOKUP($A75,데이터입력!$A:$H,4,FALSE),"")</f>
        <v/>
      </c>
      <c r="E75" s="185" t="str">
        <f>IFERROR(VLOOKUP($A75,데이터입력!$A:$H,2,FALSE),"")</f>
        <v/>
      </c>
      <c r="F75" s="185" t="str">
        <f>IFERROR(VLOOKUP($A75,데이터입력!$A:$H,5,FALSE),"")</f>
        <v/>
      </c>
      <c r="G75" s="185" t="str">
        <f>IFERROR(VLOOKUP($A75,데이터입력!$A:$H,6,FALSE),"")</f>
        <v/>
      </c>
      <c r="H75" s="186" t="str">
        <f>IFERROR(VLOOKUP($A75,데이터입력!$A:$L,8,FALSE)+VLOOKUP($A75,데이터입력!$A:$L,9,FALSE)+VLOOKUP($A75,데이터입력!$A:$L,10,FALSE),"")</f>
        <v/>
      </c>
      <c r="I75" s="181" t="s">
        <v>135</v>
      </c>
      <c r="J75" s="181" t="s">
        <v>135</v>
      </c>
      <c r="K75" s="181" t="s">
        <v>135</v>
      </c>
      <c r="M75" s="182" t="str">
        <f>데이터입력!$AB$8</f>
        <v>00</v>
      </c>
      <c r="N75" s="185" t="str">
        <f>데이터입력!$AC$9</f>
        <v>일반사업[일반]</v>
      </c>
      <c r="O75" s="183" t="str">
        <f>IFERROR(VLOOKUP($A75,#REF!,4,FALSE),"")</f>
        <v/>
      </c>
      <c r="P75" s="183" t="str">
        <f>IFERROR(VLOOKUP($A75,#REF!,5,FALSE),"")</f>
        <v/>
      </c>
      <c r="Q75" s="789" t="str">
        <f>IFERROR(VLOOKUP($A75,#REF!,6,FALSE),"")</f>
        <v/>
      </c>
      <c r="R75" s="183" t="str">
        <f>IFERROR(VLOOKUP($A75,#REF!,7,FALSE),"")</f>
        <v/>
      </c>
      <c r="S75" s="183"/>
      <c r="T75" s="184" t="str">
        <f>IFERROR(VLOOKUP($A75,#REF!,9,FALSE),"")</f>
        <v/>
      </c>
      <c r="U75" s="184" t="str">
        <f>IFERROR(VLOOKUP($A75,#REF!,10,FALSE),"")</f>
        <v/>
      </c>
      <c r="V75" s="184" t="str">
        <f>IFERROR(VLOOKUP($A75,#REF!,11,FALSE),"")</f>
        <v/>
      </c>
      <c r="W75" s="184" t="str">
        <f>IFERROR(VLOOKUP($A75,#REF!,12,FALSE),"")</f>
        <v/>
      </c>
      <c r="X75" s="184" t="str">
        <f>IFERROR(VLOOKUP($A75,#REF!,13,FALSE),"")</f>
        <v/>
      </c>
    </row>
    <row r="76" spans="1:24">
      <c r="A76" s="172">
        <v>74</v>
      </c>
      <c r="B76" s="180" t="str">
        <f>IFERROR(IF(F76="06",데이터입력!$AB$8,IF(F76="07",데이터입력!$AD$8,IF(F76="05",데이터입력!$AF$8,데이터입력!$AB$8))),데이터입력!$AB$8)</f>
        <v>00</v>
      </c>
      <c r="C76" s="584" t="str">
        <f>데이터입력!$AC$9</f>
        <v>일반사업[일반]</v>
      </c>
      <c r="D76" s="185" t="str">
        <f>IFERROR(VLOOKUP($A76,데이터입력!$A:$H,4,FALSE),"")</f>
        <v/>
      </c>
      <c r="E76" s="185" t="str">
        <f>IFERROR(VLOOKUP($A76,데이터입력!$A:$H,2,FALSE),"")</f>
        <v/>
      </c>
      <c r="F76" s="185" t="str">
        <f>IFERROR(VLOOKUP($A76,데이터입력!$A:$H,5,FALSE),"")</f>
        <v/>
      </c>
      <c r="G76" s="185" t="str">
        <f>IFERROR(VLOOKUP($A76,데이터입력!$A:$H,6,FALSE),"")</f>
        <v/>
      </c>
      <c r="H76" s="186" t="str">
        <f>IFERROR(VLOOKUP($A76,데이터입력!$A:$L,8,FALSE)+VLOOKUP($A76,데이터입력!$A:$L,9,FALSE)+VLOOKUP($A76,데이터입력!$A:$L,10,FALSE),"")</f>
        <v/>
      </c>
      <c r="I76" s="181" t="s">
        <v>135</v>
      </c>
      <c r="J76" s="181" t="s">
        <v>135</v>
      </c>
      <c r="K76" s="181" t="s">
        <v>135</v>
      </c>
      <c r="M76" s="182" t="str">
        <f>데이터입력!$AB$8</f>
        <v>00</v>
      </c>
      <c r="N76" s="185" t="str">
        <f>데이터입력!$AC$9</f>
        <v>일반사업[일반]</v>
      </c>
      <c r="O76" s="183" t="str">
        <f>IFERROR(VLOOKUP($A76,#REF!,4,FALSE),"")</f>
        <v/>
      </c>
      <c r="P76" s="183" t="str">
        <f>IFERROR(VLOOKUP($A76,#REF!,5,FALSE),"")</f>
        <v/>
      </c>
      <c r="Q76" s="789" t="str">
        <f>IFERROR(VLOOKUP($A76,#REF!,6,FALSE),"")</f>
        <v/>
      </c>
      <c r="R76" s="183" t="str">
        <f>IFERROR(VLOOKUP($A76,#REF!,7,FALSE),"")</f>
        <v/>
      </c>
      <c r="S76" s="183"/>
      <c r="T76" s="184" t="str">
        <f>IFERROR(VLOOKUP($A76,#REF!,9,FALSE),"")</f>
        <v/>
      </c>
      <c r="U76" s="184" t="str">
        <f>IFERROR(VLOOKUP($A76,#REF!,10,FALSE),"")</f>
        <v/>
      </c>
      <c r="V76" s="184" t="str">
        <f>IFERROR(VLOOKUP($A76,#REF!,11,FALSE),"")</f>
        <v/>
      </c>
      <c r="W76" s="184" t="str">
        <f>IFERROR(VLOOKUP($A76,#REF!,12,FALSE),"")</f>
        <v/>
      </c>
      <c r="X76" s="184" t="str">
        <f>IFERROR(VLOOKUP($A76,#REF!,13,FALSE),"")</f>
        <v/>
      </c>
    </row>
    <row r="77" spans="1:24">
      <c r="A77" s="172">
        <v>75</v>
      </c>
      <c r="B77" s="180" t="str">
        <f>IFERROR(IF(F77="06",데이터입력!$AB$8,IF(F77="07",데이터입력!$AD$8,IF(F77="05",데이터입력!$AF$8,데이터입력!$AB$8))),데이터입력!$AB$8)</f>
        <v>00</v>
      </c>
      <c r="C77" s="584" t="str">
        <f>데이터입력!$AC$9</f>
        <v>일반사업[일반]</v>
      </c>
      <c r="D77" s="185" t="str">
        <f>IFERROR(VLOOKUP($A77,데이터입력!$A:$H,4,FALSE),"")</f>
        <v/>
      </c>
      <c r="E77" s="185" t="str">
        <f>IFERROR(VLOOKUP($A77,데이터입력!$A:$H,2,FALSE),"")</f>
        <v/>
      </c>
      <c r="F77" s="185" t="str">
        <f>IFERROR(VLOOKUP($A77,데이터입력!$A:$H,5,FALSE),"")</f>
        <v/>
      </c>
      <c r="G77" s="185" t="str">
        <f>IFERROR(VLOOKUP($A77,데이터입력!$A:$H,6,FALSE),"")</f>
        <v/>
      </c>
      <c r="H77" s="186" t="str">
        <f>IFERROR(VLOOKUP($A77,데이터입력!$A:$L,8,FALSE)+VLOOKUP($A77,데이터입력!$A:$L,9,FALSE)+VLOOKUP($A77,데이터입력!$A:$L,10,FALSE),"")</f>
        <v/>
      </c>
      <c r="I77" s="181" t="s">
        <v>135</v>
      </c>
      <c r="J77" s="181" t="s">
        <v>135</v>
      </c>
      <c r="K77" s="181" t="s">
        <v>135</v>
      </c>
      <c r="M77" s="182" t="str">
        <f>데이터입력!$AB$8</f>
        <v>00</v>
      </c>
      <c r="N77" s="185" t="str">
        <f>데이터입력!$AC$9</f>
        <v>일반사업[일반]</v>
      </c>
      <c r="O77" s="183" t="str">
        <f>IFERROR(VLOOKUP($A77,#REF!,4,FALSE),"")</f>
        <v/>
      </c>
      <c r="P77" s="183" t="str">
        <f>IFERROR(VLOOKUP($A77,#REF!,5,FALSE),"")</f>
        <v/>
      </c>
      <c r="Q77" s="789" t="str">
        <f>IFERROR(VLOOKUP($A77,#REF!,6,FALSE),"")</f>
        <v/>
      </c>
      <c r="R77" s="183" t="str">
        <f>IFERROR(VLOOKUP($A77,#REF!,7,FALSE),"")</f>
        <v/>
      </c>
      <c r="S77" s="183"/>
      <c r="T77" s="184" t="str">
        <f>IFERROR(VLOOKUP($A77,#REF!,9,FALSE),"")</f>
        <v/>
      </c>
      <c r="U77" s="184" t="str">
        <f>IFERROR(VLOOKUP($A77,#REF!,10,FALSE),"")</f>
        <v/>
      </c>
      <c r="V77" s="184" t="str">
        <f>IFERROR(VLOOKUP($A77,#REF!,11,FALSE),"")</f>
        <v/>
      </c>
      <c r="W77" s="184" t="str">
        <f>IFERROR(VLOOKUP($A77,#REF!,12,FALSE),"")</f>
        <v/>
      </c>
      <c r="X77" s="184" t="str">
        <f>IFERROR(VLOOKUP($A77,#REF!,13,FALSE),"")</f>
        <v/>
      </c>
    </row>
    <row r="78" spans="1:24">
      <c r="A78" s="172">
        <v>76</v>
      </c>
      <c r="B78" s="180" t="str">
        <f>IFERROR(IF(F78="06",데이터입력!$AB$8,IF(F78="07",데이터입력!$AD$8,IF(F78="05",데이터입력!$AF$8,데이터입력!$AB$8))),데이터입력!$AB$8)</f>
        <v>00</v>
      </c>
      <c r="C78" s="584" t="str">
        <f>데이터입력!$AC$9</f>
        <v>일반사업[일반]</v>
      </c>
      <c r="D78" s="185" t="str">
        <f>IFERROR(VLOOKUP($A78,데이터입력!$A:$H,4,FALSE),"")</f>
        <v/>
      </c>
      <c r="E78" s="185" t="str">
        <f>IFERROR(VLOOKUP($A78,데이터입력!$A:$H,2,FALSE),"")</f>
        <v/>
      </c>
      <c r="F78" s="185" t="str">
        <f>IFERROR(VLOOKUP($A78,데이터입력!$A:$H,5,FALSE),"")</f>
        <v/>
      </c>
      <c r="G78" s="185" t="str">
        <f>IFERROR(VLOOKUP($A78,데이터입력!$A:$H,6,FALSE),"")</f>
        <v/>
      </c>
      <c r="H78" s="186" t="str">
        <f>IFERROR(VLOOKUP($A78,데이터입력!$A:$L,8,FALSE)+VLOOKUP($A78,데이터입력!$A:$L,9,FALSE)+VLOOKUP($A78,데이터입력!$A:$L,10,FALSE),"")</f>
        <v/>
      </c>
      <c r="I78" s="181" t="s">
        <v>135</v>
      </c>
      <c r="J78" s="181" t="s">
        <v>135</v>
      </c>
      <c r="K78" s="181" t="s">
        <v>135</v>
      </c>
      <c r="M78" s="182" t="str">
        <f>데이터입력!$AB$8</f>
        <v>00</v>
      </c>
      <c r="N78" s="185" t="str">
        <f>데이터입력!$AC$9</f>
        <v>일반사업[일반]</v>
      </c>
      <c r="O78" s="183" t="str">
        <f>IFERROR(VLOOKUP($A78,#REF!,4,FALSE),"")</f>
        <v/>
      </c>
      <c r="P78" s="183" t="str">
        <f>IFERROR(VLOOKUP($A78,#REF!,5,FALSE),"")</f>
        <v/>
      </c>
      <c r="Q78" s="789" t="str">
        <f>IFERROR(VLOOKUP($A78,#REF!,6,FALSE),"")</f>
        <v/>
      </c>
      <c r="R78" s="183" t="str">
        <f>IFERROR(VLOOKUP($A78,#REF!,7,FALSE),"")</f>
        <v/>
      </c>
      <c r="S78" s="183"/>
      <c r="T78" s="184" t="str">
        <f>IFERROR(VLOOKUP($A78,#REF!,9,FALSE),"")</f>
        <v/>
      </c>
      <c r="U78" s="184" t="str">
        <f>IFERROR(VLOOKUP($A78,#REF!,10,FALSE),"")</f>
        <v/>
      </c>
      <c r="V78" s="184" t="str">
        <f>IFERROR(VLOOKUP($A78,#REF!,11,FALSE),"")</f>
        <v/>
      </c>
      <c r="W78" s="184" t="str">
        <f>IFERROR(VLOOKUP($A78,#REF!,12,FALSE),"")</f>
        <v/>
      </c>
      <c r="X78" s="184" t="str">
        <f>IFERROR(VLOOKUP($A78,#REF!,13,FALSE),"")</f>
        <v/>
      </c>
    </row>
    <row r="79" spans="1:24">
      <c r="A79" s="172">
        <v>77</v>
      </c>
      <c r="B79" s="180" t="str">
        <f>IFERROR(IF(F79="06",데이터입력!$AB$8,IF(F79="07",데이터입력!$AD$8,IF(F79="05",데이터입력!$AF$8,데이터입력!$AB$8))),데이터입력!$AB$8)</f>
        <v>00</v>
      </c>
      <c r="C79" s="584" t="str">
        <f>데이터입력!$AC$9</f>
        <v>일반사업[일반]</v>
      </c>
      <c r="D79" s="185" t="str">
        <f>IFERROR(VLOOKUP($A79,데이터입력!$A:$H,4,FALSE),"")</f>
        <v/>
      </c>
      <c r="E79" s="185" t="str">
        <f>IFERROR(VLOOKUP($A79,데이터입력!$A:$H,2,FALSE),"")</f>
        <v/>
      </c>
      <c r="F79" s="185" t="str">
        <f>IFERROR(VLOOKUP($A79,데이터입력!$A:$H,5,FALSE),"")</f>
        <v/>
      </c>
      <c r="G79" s="185" t="str">
        <f>IFERROR(VLOOKUP($A79,데이터입력!$A:$H,6,FALSE),"")</f>
        <v/>
      </c>
      <c r="H79" s="186" t="str">
        <f>IFERROR(VLOOKUP($A79,데이터입력!$A:$L,8,FALSE)+VLOOKUP($A79,데이터입력!$A:$L,9,FALSE)+VLOOKUP($A79,데이터입력!$A:$L,10,FALSE),"")</f>
        <v/>
      </c>
      <c r="I79" s="181" t="s">
        <v>135</v>
      </c>
      <c r="J79" s="181" t="s">
        <v>135</v>
      </c>
      <c r="K79" s="181" t="s">
        <v>135</v>
      </c>
      <c r="M79" s="182" t="str">
        <f>데이터입력!$AB$8</f>
        <v>00</v>
      </c>
      <c r="N79" s="185" t="str">
        <f>데이터입력!$AC$9</f>
        <v>일반사업[일반]</v>
      </c>
      <c r="O79" s="183" t="str">
        <f>IFERROR(VLOOKUP($A79,#REF!,4,FALSE),"")</f>
        <v/>
      </c>
      <c r="P79" s="183" t="str">
        <f>IFERROR(VLOOKUP($A79,#REF!,5,FALSE),"")</f>
        <v/>
      </c>
      <c r="Q79" s="789" t="str">
        <f>IFERROR(VLOOKUP($A79,#REF!,6,FALSE),"")</f>
        <v/>
      </c>
      <c r="R79" s="183" t="str">
        <f>IFERROR(VLOOKUP($A79,#REF!,7,FALSE),"")</f>
        <v/>
      </c>
      <c r="S79" s="183"/>
      <c r="T79" s="184" t="str">
        <f>IFERROR(VLOOKUP($A79,#REF!,9,FALSE),"")</f>
        <v/>
      </c>
      <c r="U79" s="184" t="str">
        <f>IFERROR(VLOOKUP($A79,#REF!,10,FALSE),"")</f>
        <v/>
      </c>
      <c r="V79" s="184" t="str">
        <f>IFERROR(VLOOKUP($A79,#REF!,11,FALSE),"")</f>
        <v/>
      </c>
      <c r="W79" s="184" t="str">
        <f>IFERROR(VLOOKUP($A79,#REF!,12,FALSE),"")</f>
        <v/>
      </c>
      <c r="X79" s="184" t="str">
        <f>IFERROR(VLOOKUP($A79,#REF!,13,FALSE),"")</f>
        <v/>
      </c>
    </row>
    <row r="80" spans="1:24">
      <c r="A80" s="172">
        <v>78</v>
      </c>
      <c r="B80" s="180" t="str">
        <f>IFERROR(IF(F80="06",데이터입력!$AB$8,IF(F80="07",데이터입력!$AD$8,IF(F80="05",데이터입력!$AF$8,데이터입력!$AB$8))),데이터입력!$AB$8)</f>
        <v>00</v>
      </c>
      <c r="C80" s="584" t="str">
        <f>데이터입력!$AC$9</f>
        <v>일반사업[일반]</v>
      </c>
      <c r="D80" s="185" t="str">
        <f>IFERROR(VLOOKUP($A80,데이터입력!$A:$H,4,FALSE),"")</f>
        <v/>
      </c>
      <c r="E80" s="185" t="str">
        <f>IFERROR(VLOOKUP($A80,데이터입력!$A:$H,2,FALSE),"")</f>
        <v/>
      </c>
      <c r="F80" s="185" t="str">
        <f>IFERROR(VLOOKUP($A80,데이터입력!$A:$H,5,FALSE),"")</f>
        <v/>
      </c>
      <c r="G80" s="185" t="str">
        <f>IFERROR(VLOOKUP($A80,데이터입력!$A:$H,6,FALSE),"")</f>
        <v/>
      </c>
      <c r="H80" s="186" t="str">
        <f>IFERROR(VLOOKUP($A80,데이터입력!$A:$L,8,FALSE)+VLOOKUP($A80,데이터입력!$A:$L,9,FALSE)+VLOOKUP($A80,데이터입력!$A:$L,10,FALSE),"")</f>
        <v/>
      </c>
      <c r="I80" s="181" t="s">
        <v>135</v>
      </c>
      <c r="J80" s="181" t="s">
        <v>135</v>
      </c>
      <c r="K80" s="181" t="s">
        <v>135</v>
      </c>
      <c r="M80" s="182" t="str">
        <f>데이터입력!$AB$8</f>
        <v>00</v>
      </c>
      <c r="N80" s="185" t="str">
        <f>데이터입력!$AC$9</f>
        <v>일반사업[일반]</v>
      </c>
      <c r="O80" s="183" t="str">
        <f>IFERROR(VLOOKUP($A80,#REF!,4,FALSE),"")</f>
        <v/>
      </c>
      <c r="P80" s="183" t="str">
        <f>IFERROR(VLOOKUP($A80,#REF!,5,FALSE),"")</f>
        <v/>
      </c>
      <c r="Q80" s="789" t="str">
        <f>IFERROR(VLOOKUP($A80,#REF!,6,FALSE),"")</f>
        <v/>
      </c>
      <c r="R80" s="183" t="str">
        <f>IFERROR(VLOOKUP($A80,#REF!,7,FALSE),"")</f>
        <v/>
      </c>
      <c r="S80" s="183"/>
      <c r="T80" s="184" t="str">
        <f>IFERROR(VLOOKUP($A80,#REF!,9,FALSE),"")</f>
        <v/>
      </c>
      <c r="U80" s="184" t="str">
        <f>IFERROR(VLOOKUP($A80,#REF!,10,FALSE),"")</f>
        <v/>
      </c>
      <c r="V80" s="184" t="str">
        <f>IFERROR(VLOOKUP($A80,#REF!,11,FALSE),"")</f>
        <v/>
      </c>
      <c r="W80" s="184" t="str">
        <f>IFERROR(VLOOKUP($A80,#REF!,12,FALSE),"")</f>
        <v/>
      </c>
      <c r="X80" s="184" t="str">
        <f>IFERROR(VLOOKUP($A80,#REF!,13,FALSE),"")</f>
        <v/>
      </c>
    </row>
    <row r="81" spans="1:24">
      <c r="A81" s="172">
        <v>79</v>
      </c>
      <c r="B81" s="180" t="str">
        <f>IFERROR(IF(F81="06",데이터입력!$AB$8,IF(F81="07",데이터입력!$AD$8,IF(F81="05",데이터입력!$AF$8,데이터입력!$AB$8))),데이터입력!$AB$8)</f>
        <v>00</v>
      </c>
      <c r="C81" s="584" t="str">
        <f>데이터입력!$AC$9</f>
        <v>일반사업[일반]</v>
      </c>
      <c r="D81" s="185" t="str">
        <f>IFERROR(VLOOKUP($A81,데이터입력!$A:$H,4,FALSE),"")</f>
        <v/>
      </c>
      <c r="E81" s="185" t="str">
        <f>IFERROR(VLOOKUP($A81,데이터입력!$A:$H,2,FALSE),"")</f>
        <v/>
      </c>
      <c r="F81" s="185" t="str">
        <f>IFERROR(VLOOKUP($A81,데이터입력!$A:$H,5,FALSE),"")</f>
        <v/>
      </c>
      <c r="G81" s="185" t="str">
        <f>IFERROR(VLOOKUP($A81,데이터입력!$A:$H,6,FALSE),"")</f>
        <v/>
      </c>
      <c r="H81" s="186" t="str">
        <f>IFERROR(VLOOKUP($A81,데이터입력!$A:$L,8,FALSE)+VLOOKUP($A81,데이터입력!$A:$L,9,FALSE)+VLOOKUP($A81,데이터입력!$A:$L,10,FALSE),"")</f>
        <v/>
      </c>
      <c r="I81" s="181" t="s">
        <v>135</v>
      </c>
      <c r="J81" s="181" t="s">
        <v>135</v>
      </c>
      <c r="K81" s="181" t="s">
        <v>135</v>
      </c>
      <c r="M81" s="182" t="str">
        <f>데이터입력!$AB$8</f>
        <v>00</v>
      </c>
      <c r="N81" s="185" t="str">
        <f>데이터입력!$AC$9</f>
        <v>일반사업[일반]</v>
      </c>
      <c r="O81" s="183" t="str">
        <f>IFERROR(VLOOKUP($A81,#REF!,4,FALSE),"")</f>
        <v/>
      </c>
      <c r="P81" s="183" t="str">
        <f>IFERROR(VLOOKUP($A81,#REF!,5,FALSE),"")</f>
        <v/>
      </c>
      <c r="Q81" s="789" t="str">
        <f>IFERROR(VLOOKUP($A81,#REF!,6,FALSE),"")</f>
        <v/>
      </c>
      <c r="R81" s="183" t="str">
        <f>IFERROR(VLOOKUP($A81,#REF!,7,FALSE),"")</f>
        <v/>
      </c>
      <c r="S81" s="183"/>
      <c r="T81" s="184" t="str">
        <f>IFERROR(VLOOKUP($A81,#REF!,9,FALSE),"")</f>
        <v/>
      </c>
      <c r="U81" s="184" t="str">
        <f>IFERROR(VLOOKUP($A81,#REF!,10,FALSE),"")</f>
        <v/>
      </c>
      <c r="V81" s="184" t="str">
        <f>IFERROR(VLOOKUP($A81,#REF!,11,FALSE),"")</f>
        <v/>
      </c>
      <c r="W81" s="184" t="str">
        <f>IFERROR(VLOOKUP($A81,#REF!,12,FALSE),"")</f>
        <v/>
      </c>
      <c r="X81" s="184" t="str">
        <f>IFERROR(VLOOKUP($A81,#REF!,13,FALSE),"")</f>
        <v/>
      </c>
    </row>
    <row r="82" spans="1:24">
      <c r="A82" s="172">
        <v>80</v>
      </c>
      <c r="B82" s="180" t="str">
        <f>IFERROR(IF(F82="06",데이터입력!$AB$8,IF(F82="07",데이터입력!$AD$8,IF(F82="05",데이터입력!$AF$8,데이터입력!$AB$8))),데이터입력!$AB$8)</f>
        <v>00</v>
      </c>
      <c r="C82" s="584" t="str">
        <f>데이터입력!$AC$9</f>
        <v>일반사업[일반]</v>
      </c>
      <c r="D82" s="185" t="str">
        <f>IFERROR(VLOOKUP($A82,데이터입력!$A:$H,4,FALSE),"")</f>
        <v/>
      </c>
      <c r="E82" s="185" t="str">
        <f>IFERROR(VLOOKUP($A82,데이터입력!$A:$H,2,FALSE),"")</f>
        <v/>
      </c>
      <c r="F82" s="185" t="str">
        <f>IFERROR(VLOOKUP($A82,데이터입력!$A:$H,5,FALSE),"")</f>
        <v/>
      </c>
      <c r="G82" s="185" t="str">
        <f>IFERROR(VLOOKUP($A82,데이터입력!$A:$H,6,FALSE),"")</f>
        <v/>
      </c>
      <c r="H82" s="186" t="str">
        <f>IFERROR(VLOOKUP($A82,데이터입력!$A:$L,8,FALSE)+VLOOKUP($A82,데이터입력!$A:$L,9,FALSE)+VLOOKUP($A82,데이터입력!$A:$L,10,FALSE),"")</f>
        <v/>
      </c>
      <c r="I82" s="181" t="s">
        <v>135</v>
      </c>
      <c r="J82" s="181" t="s">
        <v>135</v>
      </c>
      <c r="K82" s="181" t="s">
        <v>135</v>
      </c>
      <c r="M82" s="182" t="str">
        <f>데이터입력!$AB$8</f>
        <v>00</v>
      </c>
      <c r="N82" s="185" t="str">
        <f>데이터입력!$AC$9</f>
        <v>일반사업[일반]</v>
      </c>
      <c r="O82" s="183" t="str">
        <f>IFERROR(VLOOKUP($A82,#REF!,4,FALSE),"")</f>
        <v/>
      </c>
      <c r="P82" s="183" t="str">
        <f>IFERROR(VLOOKUP($A82,#REF!,5,FALSE),"")</f>
        <v/>
      </c>
      <c r="Q82" s="789" t="str">
        <f>IFERROR(VLOOKUP($A82,#REF!,6,FALSE),"")</f>
        <v/>
      </c>
      <c r="R82" s="183" t="str">
        <f>IFERROR(VLOOKUP($A82,#REF!,7,FALSE),"")</f>
        <v/>
      </c>
      <c r="S82" s="183"/>
      <c r="T82" s="184" t="str">
        <f>IFERROR(VLOOKUP($A82,#REF!,9,FALSE),"")</f>
        <v/>
      </c>
      <c r="U82" s="184" t="str">
        <f>IFERROR(VLOOKUP($A82,#REF!,10,FALSE),"")</f>
        <v/>
      </c>
      <c r="V82" s="184" t="str">
        <f>IFERROR(VLOOKUP($A82,#REF!,11,FALSE),"")</f>
        <v/>
      </c>
      <c r="W82" s="184" t="str">
        <f>IFERROR(VLOOKUP($A82,#REF!,12,FALSE),"")</f>
        <v/>
      </c>
      <c r="X82" s="184" t="str">
        <f>IFERROR(VLOOKUP($A82,#REF!,13,FALSE),"")</f>
        <v/>
      </c>
    </row>
    <row r="83" spans="1:24">
      <c r="A83" s="172">
        <v>81</v>
      </c>
      <c r="B83" s="180" t="str">
        <f>IFERROR(IF(F83="06",데이터입력!$AB$8,IF(F83="07",데이터입력!$AD$8,IF(F83="05",데이터입력!$AF$8,데이터입력!$AB$8))),데이터입력!$AB$8)</f>
        <v>00</v>
      </c>
      <c r="C83" s="584" t="str">
        <f>데이터입력!$AC$9</f>
        <v>일반사업[일반]</v>
      </c>
      <c r="D83" s="185" t="str">
        <f>IFERROR(VLOOKUP($A83,데이터입력!$A:$H,4,FALSE),"")</f>
        <v/>
      </c>
      <c r="E83" s="185" t="str">
        <f>IFERROR(VLOOKUP($A83,데이터입력!$A:$H,2,FALSE),"")</f>
        <v/>
      </c>
      <c r="F83" s="185" t="str">
        <f>IFERROR(VLOOKUP($A83,데이터입력!$A:$H,5,FALSE),"")</f>
        <v/>
      </c>
      <c r="G83" s="185" t="str">
        <f>IFERROR(VLOOKUP($A83,데이터입력!$A:$H,6,FALSE),"")</f>
        <v/>
      </c>
      <c r="H83" s="186" t="str">
        <f>IFERROR(VLOOKUP($A83,데이터입력!$A:$L,8,FALSE)+VLOOKUP($A83,데이터입력!$A:$L,9,FALSE)+VLOOKUP($A83,데이터입력!$A:$L,10,FALSE),"")</f>
        <v/>
      </c>
      <c r="I83" s="181" t="s">
        <v>135</v>
      </c>
      <c r="J83" s="181" t="s">
        <v>135</v>
      </c>
      <c r="K83" s="181" t="s">
        <v>135</v>
      </c>
      <c r="M83" s="182" t="str">
        <f>데이터입력!$AB$8</f>
        <v>00</v>
      </c>
      <c r="N83" s="185" t="str">
        <f>데이터입력!$AC$9</f>
        <v>일반사업[일반]</v>
      </c>
      <c r="O83" s="183" t="str">
        <f>IFERROR(VLOOKUP($A83,#REF!,4,FALSE),"")</f>
        <v/>
      </c>
      <c r="P83" s="183" t="str">
        <f>IFERROR(VLOOKUP($A83,#REF!,5,FALSE),"")</f>
        <v/>
      </c>
      <c r="Q83" s="789" t="str">
        <f>IFERROR(VLOOKUP($A83,#REF!,6,FALSE),"")</f>
        <v/>
      </c>
      <c r="R83" s="183" t="str">
        <f>IFERROR(VLOOKUP($A83,#REF!,7,FALSE),"")</f>
        <v/>
      </c>
      <c r="S83" s="183"/>
      <c r="T83" s="184" t="str">
        <f>IFERROR(VLOOKUP($A83,#REF!,9,FALSE),"")</f>
        <v/>
      </c>
      <c r="U83" s="184" t="str">
        <f>IFERROR(VLOOKUP($A83,#REF!,10,FALSE),"")</f>
        <v/>
      </c>
      <c r="V83" s="184" t="str">
        <f>IFERROR(VLOOKUP($A83,#REF!,11,FALSE),"")</f>
        <v/>
      </c>
      <c r="W83" s="184" t="str">
        <f>IFERROR(VLOOKUP($A83,#REF!,12,FALSE),"")</f>
        <v/>
      </c>
      <c r="X83" s="184" t="str">
        <f>IFERROR(VLOOKUP($A83,#REF!,13,FALSE),"")</f>
        <v/>
      </c>
    </row>
    <row r="84" spans="1:24">
      <c r="A84" s="172">
        <v>82</v>
      </c>
      <c r="B84" s="180" t="str">
        <f>IFERROR(IF(F84="06",데이터입력!$AB$8,IF(F84="07",데이터입력!$AD$8,IF(F84="05",데이터입력!$AF$8,데이터입력!$AB$8))),데이터입력!$AB$8)</f>
        <v>00</v>
      </c>
      <c r="C84" s="584" t="str">
        <f>데이터입력!$AC$9</f>
        <v>일반사업[일반]</v>
      </c>
      <c r="D84" s="185" t="str">
        <f>IFERROR(VLOOKUP($A84,데이터입력!$A:$H,4,FALSE),"")</f>
        <v/>
      </c>
      <c r="E84" s="185" t="str">
        <f>IFERROR(VLOOKUP($A84,데이터입력!$A:$H,2,FALSE),"")</f>
        <v/>
      </c>
      <c r="F84" s="185" t="str">
        <f>IFERROR(VLOOKUP($A84,데이터입력!$A:$H,5,FALSE),"")</f>
        <v/>
      </c>
      <c r="G84" s="185" t="str">
        <f>IFERROR(VLOOKUP($A84,데이터입력!$A:$H,6,FALSE),"")</f>
        <v/>
      </c>
      <c r="H84" s="186" t="str">
        <f>IFERROR(VLOOKUP($A84,데이터입력!$A:$L,8,FALSE)+VLOOKUP($A84,데이터입력!$A:$L,9,FALSE)+VLOOKUP($A84,데이터입력!$A:$L,10,FALSE),"")</f>
        <v/>
      </c>
      <c r="I84" s="181" t="s">
        <v>135</v>
      </c>
      <c r="J84" s="181" t="s">
        <v>135</v>
      </c>
      <c r="K84" s="181" t="s">
        <v>135</v>
      </c>
      <c r="M84" s="182" t="str">
        <f>데이터입력!$AB$8</f>
        <v>00</v>
      </c>
      <c r="N84" s="185" t="str">
        <f>데이터입력!$AC$9</f>
        <v>일반사업[일반]</v>
      </c>
      <c r="O84" s="183" t="str">
        <f>IFERROR(VLOOKUP($A84,#REF!,4,FALSE),"")</f>
        <v/>
      </c>
      <c r="P84" s="183" t="str">
        <f>IFERROR(VLOOKUP($A84,#REF!,5,FALSE),"")</f>
        <v/>
      </c>
      <c r="Q84" s="789" t="str">
        <f>IFERROR(VLOOKUP($A84,#REF!,6,FALSE),"")</f>
        <v/>
      </c>
      <c r="R84" s="183" t="str">
        <f>IFERROR(VLOOKUP($A84,#REF!,7,FALSE),"")</f>
        <v/>
      </c>
      <c r="S84" s="183"/>
      <c r="T84" s="184" t="str">
        <f>IFERROR(VLOOKUP($A84,#REF!,9,FALSE),"")</f>
        <v/>
      </c>
      <c r="U84" s="184" t="str">
        <f>IFERROR(VLOOKUP($A84,#REF!,10,FALSE),"")</f>
        <v/>
      </c>
      <c r="V84" s="184" t="str">
        <f>IFERROR(VLOOKUP($A84,#REF!,11,FALSE),"")</f>
        <v/>
      </c>
      <c r="W84" s="184" t="str">
        <f>IFERROR(VLOOKUP($A84,#REF!,12,FALSE),"")</f>
        <v/>
      </c>
      <c r="X84" s="184" t="str">
        <f>IFERROR(VLOOKUP($A84,#REF!,13,FALSE),"")</f>
        <v/>
      </c>
    </row>
    <row r="85" spans="1:24">
      <c r="A85" s="172">
        <v>83</v>
      </c>
      <c r="B85" s="180" t="str">
        <f>IFERROR(IF(F85="06",데이터입력!$AB$8,IF(F85="07",데이터입력!$AD$8,IF(F85="05",데이터입력!$AF$8,데이터입력!$AB$8))),데이터입력!$AB$8)</f>
        <v>00</v>
      </c>
      <c r="C85" s="584" t="str">
        <f>데이터입력!$AC$9</f>
        <v>일반사업[일반]</v>
      </c>
      <c r="D85" s="185" t="str">
        <f>IFERROR(VLOOKUP($A85,데이터입력!$A:$H,4,FALSE),"")</f>
        <v/>
      </c>
      <c r="E85" s="185" t="str">
        <f>IFERROR(VLOOKUP($A85,데이터입력!$A:$H,2,FALSE),"")</f>
        <v/>
      </c>
      <c r="F85" s="185" t="str">
        <f>IFERROR(VLOOKUP($A85,데이터입력!$A:$H,5,FALSE),"")</f>
        <v/>
      </c>
      <c r="G85" s="185" t="str">
        <f>IFERROR(VLOOKUP($A85,데이터입력!$A:$H,6,FALSE),"")</f>
        <v/>
      </c>
      <c r="H85" s="186" t="str">
        <f>IFERROR(VLOOKUP($A85,데이터입력!$A:$L,8,FALSE)+VLOOKUP($A85,데이터입력!$A:$L,9,FALSE)+VLOOKUP($A85,데이터입력!$A:$L,10,FALSE),"")</f>
        <v/>
      </c>
      <c r="I85" s="181" t="s">
        <v>135</v>
      </c>
      <c r="J85" s="181" t="s">
        <v>135</v>
      </c>
      <c r="K85" s="181" t="s">
        <v>135</v>
      </c>
      <c r="M85" s="182" t="str">
        <f>데이터입력!$AB$8</f>
        <v>00</v>
      </c>
      <c r="N85" s="185" t="str">
        <f>데이터입력!$AC$9</f>
        <v>일반사업[일반]</v>
      </c>
      <c r="O85" s="183" t="str">
        <f>IFERROR(VLOOKUP($A85,#REF!,4,FALSE),"")</f>
        <v/>
      </c>
      <c r="P85" s="183" t="str">
        <f>IFERROR(VLOOKUP($A85,#REF!,5,FALSE),"")</f>
        <v/>
      </c>
      <c r="Q85" s="789" t="str">
        <f>IFERROR(VLOOKUP($A85,#REF!,6,FALSE),"")</f>
        <v/>
      </c>
      <c r="R85" s="183" t="str">
        <f>IFERROR(VLOOKUP($A85,#REF!,7,FALSE),"")</f>
        <v/>
      </c>
      <c r="S85" s="183"/>
      <c r="T85" s="184" t="str">
        <f>IFERROR(VLOOKUP($A85,#REF!,9,FALSE),"")</f>
        <v/>
      </c>
      <c r="U85" s="184" t="str">
        <f>IFERROR(VLOOKUP($A85,#REF!,10,FALSE),"")</f>
        <v/>
      </c>
      <c r="V85" s="184" t="str">
        <f>IFERROR(VLOOKUP($A85,#REF!,11,FALSE),"")</f>
        <v/>
      </c>
      <c r="W85" s="184" t="str">
        <f>IFERROR(VLOOKUP($A85,#REF!,12,FALSE),"")</f>
        <v/>
      </c>
      <c r="X85" s="184" t="str">
        <f>IFERROR(VLOOKUP($A85,#REF!,13,FALSE),"")</f>
        <v/>
      </c>
    </row>
    <row r="86" spans="1:24">
      <c r="A86" s="172">
        <v>84</v>
      </c>
      <c r="B86" s="180" t="str">
        <f>IFERROR(IF(F86="06",데이터입력!$AB$8,IF(F86="07",데이터입력!$AD$8,IF(F86="05",데이터입력!$AF$8,데이터입력!$AB$8))),데이터입력!$AB$8)</f>
        <v>00</v>
      </c>
      <c r="C86" s="584" t="str">
        <f>데이터입력!$AC$9</f>
        <v>일반사업[일반]</v>
      </c>
      <c r="D86" s="185" t="str">
        <f>IFERROR(VLOOKUP($A86,데이터입력!$A:$H,4,FALSE),"")</f>
        <v/>
      </c>
      <c r="E86" s="185" t="str">
        <f>IFERROR(VLOOKUP($A86,데이터입력!$A:$H,2,FALSE),"")</f>
        <v/>
      </c>
      <c r="F86" s="185" t="str">
        <f>IFERROR(VLOOKUP($A86,데이터입력!$A:$H,5,FALSE),"")</f>
        <v/>
      </c>
      <c r="G86" s="185" t="str">
        <f>IFERROR(VLOOKUP($A86,데이터입력!$A:$H,6,FALSE),"")</f>
        <v/>
      </c>
      <c r="H86" s="186" t="str">
        <f>IFERROR(VLOOKUP($A86,데이터입력!$A:$L,8,FALSE)+VLOOKUP($A86,데이터입력!$A:$L,9,FALSE)+VLOOKUP($A86,데이터입력!$A:$L,10,FALSE),"")</f>
        <v/>
      </c>
      <c r="I86" s="181" t="s">
        <v>135</v>
      </c>
      <c r="J86" s="181" t="s">
        <v>135</v>
      </c>
      <c r="K86" s="181" t="s">
        <v>135</v>
      </c>
      <c r="M86" s="182" t="str">
        <f>데이터입력!$AB$8</f>
        <v>00</v>
      </c>
      <c r="N86" s="185" t="str">
        <f>데이터입력!$AC$9</f>
        <v>일반사업[일반]</v>
      </c>
      <c r="O86" s="183" t="str">
        <f>IFERROR(VLOOKUP($A86,#REF!,4,FALSE),"")</f>
        <v/>
      </c>
      <c r="P86" s="183" t="str">
        <f>IFERROR(VLOOKUP($A86,#REF!,5,FALSE),"")</f>
        <v/>
      </c>
      <c r="Q86" s="789" t="str">
        <f>IFERROR(VLOOKUP($A86,#REF!,6,FALSE),"")</f>
        <v/>
      </c>
      <c r="R86" s="183" t="str">
        <f>IFERROR(VLOOKUP($A86,#REF!,7,FALSE),"")</f>
        <v/>
      </c>
      <c r="S86" s="183"/>
      <c r="T86" s="184" t="str">
        <f>IFERROR(VLOOKUP($A86,#REF!,9,FALSE),"")</f>
        <v/>
      </c>
      <c r="U86" s="184" t="str">
        <f>IFERROR(VLOOKUP($A86,#REF!,10,FALSE),"")</f>
        <v/>
      </c>
      <c r="V86" s="184" t="str">
        <f>IFERROR(VLOOKUP($A86,#REF!,11,FALSE),"")</f>
        <v/>
      </c>
      <c r="W86" s="184" t="str">
        <f>IFERROR(VLOOKUP($A86,#REF!,12,FALSE),"")</f>
        <v/>
      </c>
      <c r="X86" s="184" t="str">
        <f>IFERROR(VLOOKUP($A86,#REF!,13,FALSE),"")</f>
        <v/>
      </c>
    </row>
    <row r="87" spans="1:24">
      <c r="A87" s="172">
        <v>85</v>
      </c>
      <c r="B87" s="180" t="str">
        <f>IFERROR(IF(F87="06",데이터입력!$AB$8,IF(F87="07",데이터입력!$AD$8,IF(F87="05",데이터입력!$AF$8,데이터입력!$AB$8))),데이터입력!$AB$8)</f>
        <v>00</v>
      </c>
      <c r="C87" s="584" t="str">
        <f>데이터입력!$AC$9</f>
        <v>일반사업[일반]</v>
      </c>
      <c r="D87" s="185" t="str">
        <f>IFERROR(VLOOKUP($A87,데이터입력!$A:$H,4,FALSE),"")</f>
        <v/>
      </c>
      <c r="E87" s="185" t="str">
        <f>IFERROR(VLOOKUP($A87,데이터입력!$A:$H,2,FALSE),"")</f>
        <v/>
      </c>
      <c r="F87" s="185" t="str">
        <f>IFERROR(VLOOKUP($A87,데이터입력!$A:$H,5,FALSE),"")</f>
        <v/>
      </c>
      <c r="G87" s="185" t="str">
        <f>IFERROR(VLOOKUP($A87,데이터입력!$A:$H,6,FALSE),"")</f>
        <v/>
      </c>
      <c r="H87" s="186" t="str">
        <f>IFERROR(VLOOKUP($A87,데이터입력!$A:$L,8,FALSE)+VLOOKUP($A87,데이터입력!$A:$L,9,FALSE)+VLOOKUP($A87,데이터입력!$A:$L,10,FALSE),"")</f>
        <v/>
      </c>
      <c r="I87" s="181" t="s">
        <v>135</v>
      </c>
      <c r="J87" s="181" t="s">
        <v>135</v>
      </c>
      <c r="K87" s="181" t="s">
        <v>135</v>
      </c>
      <c r="M87" s="182" t="str">
        <f>데이터입력!$AB$8</f>
        <v>00</v>
      </c>
      <c r="N87" s="185" t="str">
        <f>데이터입력!$AC$9</f>
        <v>일반사업[일반]</v>
      </c>
      <c r="O87" s="183" t="str">
        <f>IFERROR(VLOOKUP($A87,#REF!,4,FALSE),"")</f>
        <v/>
      </c>
      <c r="P87" s="183" t="str">
        <f>IFERROR(VLOOKUP($A87,#REF!,5,FALSE),"")</f>
        <v/>
      </c>
      <c r="Q87" s="789" t="str">
        <f>IFERROR(VLOOKUP($A87,#REF!,6,FALSE),"")</f>
        <v/>
      </c>
      <c r="R87" s="183" t="str">
        <f>IFERROR(VLOOKUP($A87,#REF!,7,FALSE),"")</f>
        <v/>
      </c>
      <c r="S87" s="183"/>
      <c r="T87" s="184" t="str">
        <f>IFERROR(VLOOKUP($A87,#REF!,9,FALSE),"")</f>
        <v/>
      </c>
      <c r="U87" s="184" t="str">
        <f>IFERROR(VLOOKUP($A87,#REF!,10,FALSE),"")</f>
        <v/>
      </c>
      <c r="V87" s="184" t="str">
        <f>IFERROR(VLOOKUP($A87,#REF!,11,FALSE),"")</f>
        <v/>
      </c>
      <c r="W87" s="184" t="str">
        <f>IFERROR(VLOOKUP($A87,#REF!,12,FALSE),"")</f>
        <v/>
      </c>
      <c r="X87" s="184" t="str">
        <f>IFERROR(VLOOKUP($A87,#REF!,13,FALSE),"")</f>
        <v/>
      </c>
    </row>
    <row r="88" spans="1:24">
      <c r="A88" s="172">
        <v>86</v>
      </c>
      <c r="B88" s="180" t="str">
        <f>IFERROR(IF(F88="06",데이터입력!$AB$8,IF(F88="07",데이터입력!$AD$8,IF(F88="05",데이터입력!$AF$8,데이터입력!$AB$8))),데이터입력!$AB$8)</f>
        <v>00</v>
      </c>
      <c r="C88" s="584" t="str">
        <f>데이터입력!$AC$9</f>
        <v>일반사업[일반]</v>
      </c>
      <c r="D88" s="185" t="str">
        <f>IFERROR(VLOOKUP($A88,데이터입력!$A:$H,4,FALSE),"")</f>
        <v/>
      </c>
      <c r="E88" s="185" t="str">
        <f>IFERROR(VLOOKUP($A88,데이터입력!$A:$H,2,FALSE),"")</f>
        <v/>
      </c>
      <c r="F88" s="185" t="str">
        <f>IFERROR(VLOOKUP($A88,데이터입력!$A:$H,5,FALSE),"")</f>
        <v/>
      </c>
      <c r="G88" s="185" t="str">
        <f>IFERROR(VLOOKUP($A88,데이터입력!$A:$H,6,FALSE),"")</f>
        <v/>
      </c>
      <c r="H88" s="186" t="str">
        <f>IFERROR(VLOOKUP($A88,데이터입력!$A:$L,8,FALSE)+VLOOKUP($A88,데이터입력!$A:$L,9,FALSE)+VLOOKUP($A88,데이터입력!$A:$L,10,FALSE),"")</f>
        <v/>
      </c>
      <c r="I88" s="181" t="s">
        <v>135</v>
      </c>
      <c r="J88" s="181" t="s">
        <v>135</v>
      </c>
      <c r="K88" s="181" t="s">
        <v>135</v>
      </c>
      <c r="M88" s="182" t="str">
        <f>데이터입력!$AB$8</f>
        <v>00</v>
      </c>
      <c r="N88" s="185" t="str">
        <f>데이터입력!$AC$9</f>
        <v>일반사업[일반]</v>
      </c>
      <c r="O88" s="183" t="str">
        <f>IFERROR(VLOOKUP($A88,#REF!,4,FALSE),"")</f>
        <v/>
      </c>
      <c r="P88" s="183" t="str">
        <f>IFERROR(VLOOKUP($A88,#REF!,5,FALSE),"")</f>
        <v/>
      </c>
      <c r="Q88" s="789" t="str">
        <f>IFERROR(VLOOKUP($A88,#REF!,6,FALSE),"")</f>
        <v/>
      </c>
      <c r="R88" s="183" t="str">
        <f>IFERROR(VLOOKUP($A88,#REF!,7,FALSE),"")</f>
        <v/>
      </c>
      <c r="S88" s="183"/>
      <c r="T88" s="184" t="str">
        <f>IFERROR(VLOOKUP($A88,#REF!,9,FALSE),"")</f>
        <v/>
      </c>
      <c r="U88" s="184" t="str">
        <f>IFERROR(VLOOKUP($A88,#REF!,10,FALSE),"")</f>
        <v/>
      </c>
      <c r="V88" s="184" t="str">
        <f>IFERROR(VLOOKUP($A88,#REF!,11,FALSE),"")</f>
        <v/>
      </c>
      <c r="W88" s="184" t="str">
        <f>IFERROR(VLOOKUP($A88,#REF!,12,FALSE),"")</f>
        <v/>
      </c>
      <c r="X88" s="184" t="str">
        <f>IFERROR(VLOOKUP($A88,#REF!,13,FALSE),"")</f>
        <v/>
      </c>
    </row>
    <row r="89" spans="1:24">
      <c r="A89" s="172">
        <v>87</v>
      </c>
      <c r="B89" s="180" t="str">
        <f>IFERROR(IF(F89="06",데이터입력!$AB$8,IF(F89="07",데이터입력!$AD$8,IF(F89="05",데이터입력!$AF$8,데이터입력!$AB$8))),데이터입력!$AB$8)</f>
        <v>00</v>
      </c>
      <c r="C89" s="584" t="str">
        <f>데이터입력!$AC$9</f>
        <v>일반사업[일반]</v>
      </c>
      <c r="D89" s="185" t="str">
        <f>IFERROR(VLOOKUP($A89,데이터입력!$A:$H,4,FALSE),"")</f>
        <v/>
      </c>
      <c r="E89" s="185" t="str">
        <f>IFERROR(VLOOKUP($A89,데이터입력!$A:$H,2,FALSE),"")</f>
        <v/>
      </c>
      <c r="F89" s="185" t="str">
        <f>IFERROR(VLOOKUP($A89,데이터입력!$A:$H,5,FALSE),"")</f>
        <v/>
      </c>
      <c r="G89" s="185" t="str">
        <f>IFERROR(VLOOKUP($A89,데이터입력!$A:$H,6,FALSE),"")</f>
        <v/>
      </c>
      <c r="H89" s="186" t="str">
        <f>IFERROR(VLOOKUP($A89,데이터입력!$A:$L,8,FALSE)+VLOOKUP($A89,데이터입력!$A:$L,9,FALSE)+VLOOKUP($A89,데이터입력!$A:$L,10,FALSE),"")</f>
        <v/>
      </c>
      <c r="I89" s="181" t="s">
        <v>135</v>
      </c>
      <c r="J89" s="181" t="s">
        <v>135</v>
      </c>
      <c r="K89" s="181" t="s">
        <v>135</v>
      </c>
      <c r="M89" s="182" t="str">
        <f>데이터입력!$AB$8</f>
        <v>00</v>
      </c>
      <c r="N89" s="185" t="str">
        <f>데이터입력!$AC$9</f>
        <v>일반사업[일반]</v>
      </c>
      <c r="O89" s="183" t="str">
        <f>IFERROR(VLOOKUP($A89,#REF!,4,FALSE),"")</f>
        <v/>
      </c>
      <c r="P89" s="183" t="str">
        <f>IFERROR(VLOOKUP($A89,#REF!,5,FALSE),"")</f>
        <v/>
      </c>
      <c r="Q89" s="789" t="str">
        <f>IFERROR(VLOOKUP($A89,#REF!,6,FALSE),"")</f>
        <v/>
      </c>
      <c r="R89" s="183" t="str">
        <f>IFERROR(VLOOKUP($A89,#REF!,7,FALSE),"")</f>
        <v/>
      </c>
      <c r="S89" s="183"/>
      <c r="T89" s="184" t="str">
        <f>IFERROR(VLOOKUP($A89,#REF!,9,FALSE),"")</f>
        <v/>
      </c>
      <c r="U89" s="184" t="str">
        <f>IFERROR(VLOOKUP($A89,#REF!,10,FALSE),"")</f>
        <v/>
      </c>
      <c r="V89" s="184" t="str">
        <f>IFERROR(VLOOKUP($A89,#REF!,11,FALSE),"")</f>
        <v/>
      </c>
      <c r="W89" s="184" t="str">
        <f>IFERROR(VLOOKUP($A89,#REF!,12,FALSE),"")</f>
        <v/>
      </c>
      <c r="X89" s="184" t="str">
        <f>IFERROR(VLOOKUP($A89,#REF!,13,FALSE),"")</f>
        <v/>
      </c>
    </row>
    <row r="90" spans="1:24">
      <c r="A90" s="172">
        <v>88</v>
      </c>
      <c r="B90" s="180" t="str">
        <f>IFERROR(IF(F90="06",데이터입력!$AB$8,IF(F90="07",데이터입력!$AD$8,IF(F90="05",데이터입력!$AF$8,데이터입력!$AB$8))),데이터입력!$AB$8)</f>
        <v>00</v>
      </c>
      <c r="C90" s="584" t="str">
        <f>데이터입력!$AC$9</f>
        <v>일반사업[일반]</v>
      </c>
      <c r="D90" s="185" t="str">
        <f>IFERROR(VLOOKUP($A90,데이터입력!$A:$H,4,FALSE),"")</f>
        <v/>
      </c>
      <c r="E90" s="185" t="str">
        <f>IFERROR(VLOOKUP($A90,데이터입력!$A:$H,2,FALSE),"")</f>
        <v/>
      </c>
      <c r="F90" s="185" t="str">
        <f>IFERROR(VLOOKUP($A90,데이터입력!$A:$H,5,FALSE),"")</f>
        <v/>
      </c>
      <c r="G90" s="185" t="str">
        <f>IFERROR(VLOOKUP($A90,데이터입력!$A:$H,6,FALSE),"")</f>
        <v/>
      </c>
      <c r="H90" s="186" t="str">
        <f>IFERROR(VLOOKUP($A90,데이터입력!$A:$L,8,FALSE)+VLOOKUP($A90,데이터입력!$A:$L,9,FALSE)+VLOOKUP($A90,데이터입력!$A:$L,10,FALSE),"")</f>
        <v/>
      </c>
      <c r="I90" s="181" t="s">
        <v>135</v>
      </c>
      <c r="J90" s="181" t="s">
        <v>135</v>
      </c>
      <c r="K90" s="181" t="s">
        <v>135</v>
      </c>
      <c r="M90" s="182" t="str">
        <f>데이터입력!$AB$8</f>
        <v>00</v>
      </c>
      <c r="N90" s="185" t="str">
        <f>데이터입력!$AC$9</f>
        <v>일반사업[일반]</v>
      </c>
      <c r="O90" s="183" t="str">
        <f>IFERROR(VLOOKUP($A90,#REF!,4,FALSE),"")</f>
        <v/>
      </c>
      <c r="P90" s="183" t="str">
        <f>IFERROR(VLOOKUP($A90,#REF!,5,FALSE),"")</f>
        <v/>
      </c>
      <c r="Q90" s="789" t="str">
        <f>IFERROR(VLOOKUP($A90,#REF!,6,FALSE),"")</f>
        <v/>
      </c>
      <c r="R90" s="183" t="str">
        <f>IFERROR(VLOOKUP($A90,#REF!,7,FALSE),"")</f>
        <v/>
      </c>
      <c r="S90" s="183"/>
      <c r="T90" s="184" t="str">
        <f>IFERROR(VLOOKUP($A90,#REF!,9,FALSE),"")</f>
        <v/>
      </c>
      <c r="U90" s="184" t="str">
        <f>IFERROR(VLOOKUP($A90,#REF!,10,FALSE),"")</f>
        <v/>
      </c>
      <c r="V90" s="184" t="str">
        <f>IFERROR(VLOOKUP($A90,#REF!,11,FALSE),"")</f>
        <v/>
      </c>
      <c r="W90" s="184" t="str">
        <f>IFERROR(VLOOKUP($A90,#REF!,12,FALSE),"")</f>
        <v/>
      </c>
      <c r="X90" s="184" t="str">
        <f>IFERROR(VLOOKUP($A90,#REF!,13,FALSE),"")</f>
        <v/>
      </c>
    </row>
    <row r="91" spans="1:24">
      <c r="A91" s="172">
        <v>89</v>
      </c>
      <c r="B91" s="180" t="str">
        <f>IFERROR(IF(F91="06",데이터입력!$AB$8,IF(F91="07",데이터입력!$AD$8,IF(F91="05",데이터입력!$AF$8,데이터입력!$AB$8))),데이터입력!$AB$8)</f>
        <v>00</v>
      </c>
      <c r="C91" s="584" t="str">
        <f>데이터입력!$AC$9</f>
        <v>일반사업[일반]</v>
      </c>
      <c r="D91" s="185" t="str">
        <f>IFERROR(VLOOKUP($A91,데이터입력!$A:$H,4,FALSE),"")</f>
        <v/>
      </c>
      <c r="E91" s="185" t="str">
        <f>IFERROR(VLOOKUP($A91,데이터입력!$A:$H,2,FALSE),"")</f>
        <v/>
      </c>
      <c r="F91" s="185" t="str">
        <f>IFERROR(VLOOKUP($A91,데이터입력!$A:$H,5,FALSE),"")</f>
        <v/>
      </c>
      <c r="G91" s="185" t="str">
        <f>IFERROR(VLOOKUP($A91,데이터입력!$A:$H,6,FALSE),"")</f>
        <v/>
      </c>
      <c r="H91" s="186" t="str">
        <f>IFERROR(VLOOKUP($A91,데이터입력!$A:$L,8,FALSE)+VLOOKUP($A91,데이터입력!$A:$L,9,FALSE)+VLOOKUP($A91,데이터입력!$A:$L,10,FALSE),"")</f>
        <v/>
      </c>
      <c r="I91" s="181" t="s">
        <v>135</v>
      </c>
      <c r="J91" s="181" t="s">
        <v>135</v>
      </c>
      <c r="K91" s="181" t="s">
        <v>135</v>
      </c>
      <c r="M91" s="182" t="str">
        <f>데이터입력!$AB$8</f>
        <v>00</v>
      </c>
      <c r="N91" s="185" t="str">
        <f>데이터입력!$AC$9</f>
        <v>일반사업[일반]</v>
      </c>
      <c r="O91" s="183" t="str">
        <f>IFERROR(VLOOKUP($A91,#REF!,4,FALSE),"")</f>
        <v/>
      </c>
      <c r="P91" s="183" t="str">
        <f>IFERROR(VLOOKUP($A91,#REF!,5,FALSE),"")</f>
        <v/>
      </c>
      <c r="Q91" s="789" t="str">
        <f>IFERROR(VLOOKUP($A91,#REF!,6,FALSE),"")</f>
        <v/>
      </c>
      <c r="R91" s="183" t="str">
        <f>IFERROR(VLOOKUP($A91,#REF!,7,FALSE),"")</f>
        <v/>
      </c>
      <c r="S91" s="183"/>
      <c r="T91" s="184" t="str">
        <f>IFERROR(VLOOKUP($A91,#REF!,9,FALSE),"")</f>
        <v/>
      </c>
      <c r="U91" s="184" t="str">
        <f>IFERROR(VLOOKUP($A91,#REF!,10,FALSE),"")</f>
        <v/>
      </c>
      <c r="V91" s="184" t="str">
        <f>IFERROR(VLOOKUP($A91,#REF!,11,FALSE),"")</f>
        <v/>
      </c>
      <c r="W91" s="184" t="str">
        <f>IFERROR(VLOOKUP($A91,#REF!,12,FALSE),"")</f>
        <v/>
      </c>
      <c r="X91" s="184" t="str">
        <f>IFERROR(VLOOKUP($A91,#REF!,13,FALSE),"")</f>
        <v/>
      </c>
    </row>
    <row r="92" spans="1:24">
      <c r="A92" s="172">
        <v>90</v>
      </c>
      <c r="B92" s="180" t="str">
        <f>IFERROR(IF(F92="06",데이터입력!$AB$8,IF(F92="07",데이터입력!$AD$8,IF(F92="05",데이터입력!$AF$8,데이터입력!$AB$8))),데이터입력!$AB$8)</f>
        <v>00</v>
      </c>
      <c r="C92" s="584" t="str">
        <f>데이터입력!$AC$9</f>
        <v>일반사업[일반]</v>
      </c>
      <c r="D92" s="185" t="str">
        <f>IFERROR(VLOOKUP($A92,데이터입력!$A:$H,4,FALSE),"")</f>
        <v/>
      </c>
      <c r="E92" s="185" t="str">
        <f>IFERROR(VLOOKUP($A92,데이터입력!$A:$H,2,FALSE),"")</f>
        <v/>
      </c>
      <c r="F92" s="185" t="str">
        <f>IFERROR(VLOOKUP($A92,데이터입력!$A:$H,5,FALSE),"")</f>
        <v/>
      </c>
      <c r="G92" s="185" t="str">
        <f>IFERROR(VLOOKUP($A92,데이터입력!$A:$H,6,FALSE),"")</f>
        <v/>
      </c>
      <c r="H92" s="186" t="str">
        <f>IFERROR(VLOOKUP($A92,데이터입력!$A:$L,8,FALSE)+VLOOKUP($A92,데이터입력!$A:$L,9,FALSE)+VLOOKUP($A92,데이터입력!$A:$L,10,FALSE),"")</f>
        <v/>
      </c>
      <c r="I92" s="181" t="s">
        <v>135</v>
      </c>
      <c r="J92" s="181" t="s">
        <v>135</v>
      </c>
      <c r="K92" s="181" t="s">
        <v>135</v>
      </c>
      <c r="M92" s="182" t="str">
        <f>데이터입력!$AB$8</f>
        <v>00</v>
      </c>
      <c r="N92" s="185" t="str">
        <f>데이터입력!$AC$9</f>
        <v>일반사업[일반]</v>
      </c>
      <c r="O92" s="183" t="str">
        <f>IFERROR(VLOOKUP($A92,#REF!,4,FALSE),"")</f>
        <v/>
      </c>
      <c r="P92" s="183" t="str">
        <f>IFERROR(VLOOKUP($A92,#REF!,5,FALSE),"")</f>
        <v/>
      </c>
      <c r="Q92" s="789" t="str">
        <f>IFERROR(VLOOKUP($A92,#REF!,6,FALSE),"")</f>
        <v/>
      </c>
      <c r="R92" s="183" t="str">
        <f>IFERROR(VLOOKUP($A92,#REF!,7,FALSE),"")</f>
        <v/>
      </c>
      <c r="S92" s="183"/>
      <c r="T92" s="184" t="str">
        <f>IFERROR(VLOOKUP($A92,#REF!,9,FALSE),"")</f>
        <v/>
      </c>
      <c r="U92" s="184" t="str">
        <f>IFERROR(VLOOKUP($A92,#REF!,10,FALSE),"")</f>
        <v/>
      </c>
      <c r="V92" s="184" t="str">
        <f>IFERROR(VLOOKUP($A92,#REF!,11,FALSE),"")</f>
        <v/>
      </c>
      <c r="W92" s="184" t="str">
        <f>IFERROR(VLOOKUP($A92,#REF!,12,FALSE),"")</f>
        <v/>
      </c>
      <c r="X92" s="184" t="str">
        <f>IFERROR(VLOOKUP($A92,#REF!,13,FALSE),"")</f>
        <v/>
      </c>
    </row>
    <row r="93" spans="1:24">
      <c r="A93" s="172">
        <v>91</v>
      </c>
      <c r="B93" s="180" t="str">
        <f>IFERROR(IF(F93="06",데이터입력!$AB$8,IF(F93="07",데이터입력!$AD$8,IF(F93="05",데이터입력!$AF$8,데이터입력!$AB$8))),데이터입력!$AB$8)</f>
        <v>00</v>
      </c>
      <c r="C93" s="584" t="str">
        <f>데이터입력!$AC$9</f>
        <v>일반사업[일반]</v>
      </c>
      <c r="D93" s="185" t="str">
        <f>IFERROR(VLOOKUP($A93,데이터입력!$A:$H,4,FALSE),"")</f>
        <v/>
      </c>
      <c r="E93" s="185" t="str">
        <f>IFERROR(VLOOKUP($A93,데이터입력!$A:$H,2,FALSE),"")</f>
        <v/>
      </c>
      <c r="F93" s="185" t="str">
        <f>IFERROR(VLOOKUP($A93,데이터입력!$A:$H,5,FALSE),"")</f>
        <v/>
      </c>
      <c r="G93" s="185" t="str">
        <f>IFERROR(VLOOKUP($A93,데이터입력!$A:$H,6,FALSE),"")</f>
        <v/>
      </c>
      <c r="H93" s="186" t="str">
        <f>IFERROR(VLOOKUP($A93,데이터입력!$A:$L,8,FALSE)+VLOOKUP($A93,데이터입력!$A:$L,9,FALSE)+VLOOKUP($A93,데이터입력!$A:$L,10,FALSE),"")</f>
        <v/>
      </c>
      <c r="I93" s="181" t="s">
        <v>135</v>
      </c>
      <c r="J93" s="181" t="s">
        <v>135</v>
      </c>
      <c r="K93" s="181" t="s">
        <v>135</v>
      </c>
      <c r="M93" s="182" t="str">
        <f>데이터입력!$AB$8</f>
        <v>00</v>
      </c>
      <c r="N93" s="185" t="str">
        <f>데이터입력!$AC$9</f>
        <v>일반사업[일반]</v>
      </c>
      <c r="O93" s="183" t="str">
        <f>IFERROR(VLOOKUP($A93,#REF!,4,FALSE),"")</f>
        <v/>
      </c>
      <c r="P93" s="183" t="str">
        <f>IFERROR(VLOOKUP($A93,#REF!,5,FALSE),"")</f>
        <v/>
      </c>
      <c r="Q93" s="789" t="str">
        <f>IFERROR(VLOOKUP($A93,#REF!,6,FALSE),"")</f>
        <v/>
      </c>
      <c r="R93" s="183" t="str">
        <f>IFERROR(VLOOKUP($A93,#REF!,7,FALSE),"")</f>
        <v/>
      </c>
      <c r="S93" s="183"/>
      <c r="T93" s="184" t="str">
        <f>IFERROR(VLOOKUP($A93,#REF!,9,FALSE),"")</f>
        <v/>
      </c>
      <c r="U93" s="184" t="str">
        <f>IFERROR(VLOOKUP($A93,#REF!,10,FALSE),"")</f>
        <v/>
      </c>
      <c r="V93" s="184" t="str">
        <f>IFERROR(VLOOKUP($A93,#REF!,11,FALSE),"")</f>
        <v/>
      </c>
      <c r="W93" s="184" t="str">
        <f>IFERROR(VLOOKUP($A93,#REF!,12,FALSE),"")</f>
        <v/>
      </c>
      <c r="X93" s="184" t="str">
        <f>IFERROR(VLOOKUP($A93,#REF!,13,FALSE),"")</f>
        <v/>
      </c>
    </row>
    <row r="94" spans="1:24">
      <c r="A94" s="172">
        <v>92</v>
      </c>
      <c r="B94" s="180" t="str">
        <f>IFERROR(IF(F94="06",데이터입력!$AB$8,IF(F94="07",데이터입력!$AD$8,IF(F94="05",데이터입력!$AF$8,데이터입력!$AB$8))),데이터입력!$AB$8)</f>
        <v>00</v>
      </c>
      <c r="C94" s="584" t="str">
        <f>데이터입력!$AC$9</f>
        <v>일반사업[일반]</v>
      </c>
      <c r="D94" s="185" t="str">
        <f>IFERROR(VLOOKUP($A94,데이터입력!$A:$H,4,FALSE),"")</f>
        <v/>
      </c>
      <c r="E94" s="185" t="str">
        <f>IFERROR(VLOOKUP($A94,데이터입력!$A:$H,2,FALSE),"")</f>
        <v/>
      </c>
      <c r="F94" s="185" t="str">
        <f>IFERROR(VLOOKUP($A94,데이터입력!$A:$H,5,FALSE),"")</f>
        <v/>
      </c>
      <c r="G94" s="185" t="str">
        <f>IFERROR(VLOOKUP($A94,데이터입력!$A:$H,6,FALSE),"")</f>
        <v/>
      </c>
      <c r="H94" s="186" t="str">
        <f>IFERROR(VLOOKUP($A94,데이터입력!$A:$L,8,FALSE)+VLOOKUP($A94,데이터입력!$A:$L,9,FALSE)+VLOOKUP($A94,데이터입력!$A:$L,10,FALSE),"")</f>
        <v/>
      </c>
      <c r="I94" s="181" t="s">
        <v>135</v>
      </c>
      <c r="J94" s="181" t="s">
        <v>135</v>
      </c>
      <c r="K94" s="181" t="s">
        <v>135</v>
      </c>
      <c r="M94" s="182" t="str">
        <f>데이터입력!$AB$8</f>
        <v>00</v>
      </c>
      <c r="N94" s="185" t="str">
        <f>데이터입력!$AC$9</f>
        <v>일반사업[일반]</v>
      </c>
      <c r="O94" s="183" t="str">
        <f>IFERROR(VLOOKUP($A94,#REF!,4,FALSE),"")</f>
        <v/>
      </c>
      <c r="P94" s="183" t="str">
        <f>IFERROR(VLOOKUP($A94,#REF!,5,FALSE),"")</f>
        <v/>
      </c>
      <c r="Q94" s="789" t="str">
        <f>IFERROR(VLOOKUP($A94,#REF!,6,FALSE),"")</f>
        <v/>
      </c>
      <c r="R94" s="183" t="str">
        <f>IFERROR(VLOOKUP($A94,#REF!,7,FALSE),"")</f>
        <v/>
      </c>
      <c r="S94" s="183"/>
      <c r="T94" s="184" t="str">
        <f>IFERROR(VLOOKUP($A94,#REF!,9,FALSE),"")</f>
        <v/>
      </c>
      <c r="U94" s="184" t="str">
        <f>IFERROR(VLOOKUP($A94,#REF!,10,FALSE),"")</f>
        <v/>
      </c>
      <c r="V94" s="184" t="str">
        <f>IFERROR(VLOOKUP($A94,#REF!,11,FALSE),"")</f>
        <v/>
      </c>
      <c r="W94" s="184" t="str">
        <f>IFERROR(VLOOKUP($A94,#REF!,12,FALSE),"")</f>
        <v/>
      </c>
      <c r="X94" s="184" t="str">
        <f>IFERROR(VLOOKUP($A94,#REF!,13,FALSE),"")</f>
        <v/>
      </c>
    </row>
    <row r="95" spans="1:24">
      <c r="A95" s="172">
        <v>93</v>
      </c>
      <c r="B95" s="180" t="str">
        <f>IFERROR(IF(F95="06",데이터입력!$AB$8,IF(F95="07",데이터입력!$AD$8,IF(F95="05",데이터입력!$AF$8,데이터입력!$AB$8))),데이터입력!$AB$8)</f>
        <v>00</v>
      </c>
      <c r="C95" s="584" t="str">
        <f>데이터입력!$AC$9</f>
        <v>일반사업[일반]</v>
      </c>
      <c r="D95" s="185" t="str">
        <f>IFERROR(VLOOKUP($A95,데이터입력!$A:$H,4,FALSE),"")</f>
        <v/>
      </c>
      <c r="E95" s="185" t="str">
        <f>IFERROR(VLOOKUP($A95,데이터입력!$A:$H,2,FALSE),"")</f>
        <v/>
      </c>
      <c r="F95" s="185" t="str">
        <f>IFERROR(VLOOKUP($A95,데이터입력!$A:$H,5,FALSE),"")</f>
        <v/>
      </c>
      <c r="G95" s="185" t="str">
        <f>IFERROR(VLOOKUP($A95,데이터입력!$A:$H,6,FALSE),"")</f>
        <v/>
      </c>
      <c r="H95" s="186" t="str">
        <f>IFERROR(VLOOKUP($A95,데이터입력!$A:$L,8,FALSE)+VLOOKUP($A95,데이터입력!$A:$L,9,FALSE)+VLOOKUP($A95,데이터입력!$A:$L,10,FALSE),"")</f>
        <v/>
      </c>
      <c r="I95" s="181" t="s">
        <v>135</v>
      </c>
      <c r="J95" s="181" t="s">
        <v>135</v>
      </c>
      <c r="K95" s="181" t="s">
        <v>135</v>
      </c>
      <c r="M95" s="182" t="str">
        <f>데이터입력!$AB$8</f>
        <v>00</v>
      </c>
      <c r="N95" s="185" t="str">
        <f>데이터입력!$AC$9</f>
        <v>일반사업[일반]</v>
      </c>
      <c r="O95" s="183" t="str">
        <f>IFERROR(VLOOKUP($A95,#REF!,4,FALSE),"")</f>
        <v/>
      </c>
      <c r="P95" s="183" t="str">
        <f>IFERROR(VLOOKUP($A95,#REF!,5,FALSE),"")</f>
        <v/>
      </c>
      <c r="Q95" s="789" t="str">
        <f>IFERROR(VLOOKUP($A95,#REF!,6,FALSE),"")</f>
        <v/>
      </c>
      <c r="R95" s="183" t="str">
        <f>IFERROR(VLOOKUP($A95,#REF!,7,FALSE),"")</f>
        <v/>
      </c>
      <c r="S95" s="183"/>
      <c r="T95" s="184" t="str">
        <f>IFERROR(VLOOKUP($A95,#REF!,9,FALSE),"")</f>
        <v/>
      </c>
      <c r="U95" s="184" t="str">
        <f>IFERROR(VLOOKUP($A95,#REF!,10,FALSE),"")</f>
        <v/>
      </c>
      <c r="V95" s="184" t="str">
        <f>IFERROR(VLOOKUP($A95,#REF!,11,FALSE),"")</f>
        <v/>
      </c>
      <c r="W95" s="184" t="str">
        <f>IFERROR(VLOOKUP($A95,#REF!,12,FALSE),"")</f>
        <v/>
      </c>
      <c r="X95" s="184" t="str">
        <f>IFERROR(VLOOKUP($A95,#REF!,13,FALSE),"")</f>
        <v/>
      </c>
    </row>
    <row r="96" spans="1:24">
      <c r="A96" s="172">
        <v>94</v>
      </c>
      <c r="B96" s="180" t="str">
        <f>IFERROR(IF(F96="06",데이터입력!$AB$8,IF(F96="07",데이터입력!$AD$8,IF(F96="05",데이터입력!$AF$8,데이터입력!$AB$8))),데이터입력!$AB$8)</f>
        <v>00</v>
      </c>
      <c r="C96" s="584" t="str">
        <f>데이터입력!$AC$9</f>
        <v>일반사업[일반]</v>
      </c>
      <c r="D96" s="185" t="str">
        <f>IFERROR(VLOOKUP($A96,데이터입력!$A:$H,4,FALSE),"")</f>
        <v/>
      </c>
      <c r="E96" s="185" t="str">
        <f>IFERROR(VLOOKUP($A96,데이터입력!$A:$H,2,FALSE),"")</f>
        <v/>
      </c>
      <c r="F96" s="185" t="str">
        <f>IFERROR(VLOOKUP($A96,데이터입력!$A:$H,5,FALSE),"")</f>
        <v/>
      </c>
      <c r="G96" s="185" t="str">
        <f>IFERROR(VLOOKUP($A96,데이터입력!$A:$H,6,FALSE),"")</f>
        <v/>
      </c>
      <c r="H96" s="186" t="str">
        <f>IFERROR(VLOOKUP($A96,데이터입력!$A:$L,8,FALSE)+VLOOKUP($A96,데이터입력!$A:$L,9,FALSE)+VLOOKUP($A96,데이터입력!$A:$L,10,FALSE),"")</f>
        <v/>
      </c>
      <c r="I96" s="181" t="s">
        <v>135</v>
      </c>
      <c r="J96" s="181" t="s">
        <v>135</v>
      </c>
      <c r="K96" s="181" t="s">
        <v>135</v>
      </c>
      <c r="M96" s="182" t="str">
        <f>데이터입력!$AB$8</f>
        <v>00</v>
      </c>
      <c r="N96" s="185" t="str">
        <f>데이터입력!$AC$9</f>
        <v>일반사업[일반]</v>
      </c>
      <c r="O96" s="183" t="str">
        <f>IFERROR(VLOOKUP($A96,#REF!,4,FALSE),"")</f>
        <v/>
      </c>
      <c r="P96" s="183" t="str">
        <f>IFERROR(VLOOKUP($A96,#REF!,5,FALSE),"")</f>
        <v/>
      </c>
      <c r="Q96" s="789" t="str">
        <f>IFERROR(VLOOKUP($A96,#REF!,6,FALSE),"")</f>
        <v/>
      </c>
      <c r="R96" s="183" t="str">
        <f>IFERROR(VLOOKUP($A96,#REF!,7,FALSE),"")</f>
        <v/>
      </c>
      <c r="S96" s="183"/>
      <c r="T96" s="184" t="str">
        <f>IFERROR(VLOOKUP($A96,#REF!,9,FALSE),"")</f>
        <v/>
      </c>
      <c r="U96" s="184" t="str">
        <f>IFERROR(VLOOKUP($A96,#REF!,10,FALSE),"")</f>
        <v/>
      </c>
      <c r="V96" s="184" t="str">
        <f>IFERROR(VLOOKUP($A96,#REF!,11,FALSE),"")</f>
        <v/>
      </c>
      <c r="W96" s="184" t="str">
        <f>IFERROR(VLOOKUP($A96,#REF!,12,FALSE),"")</f>
        <v/>
      </c>
      <c r="X96" s="184" t="str">
        <f>IFERROR(VLOOKUP($A96,#REF!,13,FALSE),"")</f>
        <v/>
      </c>
    </row>
    <row r="97" spans="1:24">
      <c r="A97" s="172">
        <v>95</v>
      </c>
      <c r="B97" s="180" t="str">
        <f>IFERROR(IF(F97="06",데이터입력!$AB$8,IF(F97="07",데이터입력!$AD$8,IF(F97="05",데이터입력!$AF$8,데이터입력!$AB$8))),데이터입력!$AB$8)</f>
        <v>00</v>
      </c>
      <c r="C97" s="584" t="str">
        <f>데이터입력!$AC$9</f>
        <v>일반사업[일반]</v>
      </c>
      <c r="D97" s="185" t="str">
        <f>IFERROR(VLOOKUP($A97,데이터입력!$A:$H,4,FALSE),"")</f>
        <v/>
      </c>
      <c r="E97" s="185" t="str">
        <f>IFERROR(VLOOKUP($A97,데이터입력!$A:$H,2,FALSE),"")</f>
        <v/>
      </c>
      <c r="F97" s="185" t="str">
        <f>IFERROR(VLOOKUP($A97,데이터입력!$A:$H,5,FALSE),"")</f>
        <v/>
      </c>
      <c r="G97" s="185" t="str">
        <f>IFERROR(VLOOKUP($A97,데이터입력!$A:$H,6,FALSE),"")</f>
        <v/>
      </c>
      <c r="H97" s="186" t="str">
        <f>IFERROR(VLOOKUP($A97,데이터입력!$A:$L,8,FALSE)+VLOOKUP($A97,데이터입력!$A:$L,9,FALSE)+VLOOKUP($A97,데이터입력!$A:$L,10,FALSE),"")</f>
        <v/>
      </c>
      <c r="I97" s="181" t="s">
        <v>135</v>
      </c>
      <c r="J97" s="181" t="s">
        <v>135</v>
      </c>
      <c r="K97" s="181" t="s">
        <v>135</v>
      </c>
      <c r="M97" s="182" t="str">
        <f>데이터입력!$AB$8</f>
        <v>00</v>
      </c>
      <c r="N97" s="185" t="str">
        <f>데이터입력!$AC$9</f>
        <v>일반사업[일반]</v>
      </c>
      <c r="O97" s="183" t="str">
        <f>IFERROR(VLOOKUP($A97,#REF!,4,FALSE),"")</f>
        <v/>
      </c>
      <c r="P97" s="183" t="str">
        <f>IFERROR(VLOOKUP($A97,#REF!,5,FALSE),"")</f>
        <v/>
      </c>
      <c r="Q97" s="789" t="str">
        <f>IFERROR(VLOOKUP($A97,#REF!,6,FALSE),"")</f>
        <v/>
      </c>
      <c r="R97" s="183" t="str">
        <f>IFERROR(VLOOKUP($A97,#REF!,7,FALSE),"")</f>
        <v/>
      </c>
      <c r="S97" s="183"/>
      <c r="T97" s="184" t="str">
        <f>IFERROR(VLOOKUP($A97,#REF!,9,FALSE),"")</f>
        <v/>
      </c>
      <c r="U97" s="184" t="str">
        <f>IFERROR(VLOOKUP($A97,#REF!,10,FALSE),"")</f>
        <v/>
      </c>
      <c r="V97" s="184" t="str">
        <f>IFERROR(VLOOKUP($A97,#REF!,11,FALSE),"")</f>
        <v/>
      </c>
      <c r="W97" s="184" t="str">
        <f>IFERROR(VLOOKUP($A97,#REF!,12,FALSE),"")</f>
        <v/>
      </c>
      <c r="X97" s="184" t="str">
        <f>IFERROR(VLOOKUP($A97,#REF!,13,FALSE),"")</f>
        <v/>
      </c>
    </row>
    <row r="98" spans="1:24">
      <c r="A98" s="172">
        <v>96</v>
      </c>
      <c r="B98" s="180" t="str">
        <f>IFERROR(IF(F98="06",데이터입력!$AB$8,IF(F98="07",데이터입력!$AD$8,IF(F98="05",데이터입력!$AF$8,데이터입력!$AB$8))),데이터입력!$AB$8)</f>
        <v>00</v>
      </c>
      <c r="C98" s="584" t="str">
        <f>데이터입력!$AC$9</f>
        <v>일반사업[일반]</v>
      </c>
      <c r="D98" s="185" t="str">
        <f>IFERROR(VLOOKUP($A98,데이터입력!$A:$H,4,FALSE),"")</f>
        <v/>
      </c>
      <c r="E98" s="185" t="str">
        <f>IFERROR(VLOOKUP($A98,데이터입력!$A:$H,2,FALSE),"")</f>
        <v/>
      </c>
      <c r="F98" s="185" t="str">
        <f>IFERROR(VLOOKUP($A98,데이터입력!$A:$H,5,FALSE),"")</f>
        <v/>
      </c>
      <c r="G98" s="185" t="str">
        <f>IFERROR(VLOOKUP($A98,데이터입력!$A:$H,6,FALSE),"")</f>
        <v/>
      </c>
      <c r="H98" s="186" t="str">
        <f>IFERROR(VLOOKUP($A98,데이터입력!$A:$L,8,FALSE)+VLOOKUP($A98,데이터입력!$A:$L,9,FALSE)+VLOOKUP($A98,데이터입력!$A:$L,10,FALSE),"")</f>
        <v/>
      </c>
      <c r="I98" s="181" t="s">
        <v>135</v>
      </c>
      <c r="J98" s="181" t="s">
        <v>135</v>
      </c>
      <c r="K98" s="181" t="s">
        <v>135</v>
      </c>
      <c r="M98" s="182" t="str">
        <f>데이터입력!$AB$8</f>
        <v>00</v>
      </c>
      <c r="N98" s="185" t="str">
        <f>데이터입력!$AC$9</f>
        <v>일반사업[일반]</v>
      </c>
      <c r="O98" s="183" t="str">
        <f>IFERROR(VLOOKUP($A98,#REF!,4,FALSE),"")</f>
        <v/>
      </c>
      <c r="P98" s="183" t="str">
        <f>IFERROR(VLOOKUP($A98,#REF!,5,FALSE),"")</f>
        <v/>
      </c>
      <c r="Q98" s="789" t="str">
        <f>IFERROR(VLOOKUP($A98,#REF!,6,FALSE),"")</f>
        <v/>
      </c>
      <c r="R98" s="183" t="str">
        <f>IFERROR(VLOOKUP($A98,#REF!,7,FALSE),"")</f>
        <v/>
      </c>
      <c r="S98" s="183"/>
      <c r="T98" s="184" t="str">
        <f>IFERROR(VLOOKUP($A98,#REF!,9,FALSE),"")</f>
        <v/>
      </c>
      <c r="U98" s="184" t="str">
        <f>IFERROR(VLOOKUP($A98,#REF!,10,FALSE),"")</f>
        <v/>
      </c>
      <c r="V98" s="184" t="str">
        <f>IFERROR(VLOOKUP($A98,#REF!,11,FALSE),"")</f>
        <v/>
      </c>
      <c r="W98" s="184" t="str">
        <f>IFERROR(VLOOKUP($A98,#REF!,12,FALSE),"")</f>
        <v/>
      </c>
      <c r="X98" s="184" t="str">
        <f>IFERROR(VLOOKUP($A98,#REF!,13,FALSE),"")</f>
        <v/>
      </c>
    </row>
    <row r="99" spans="1:24">
      <c r="A99" s="172">
        <v>97</v>
      </c>
      <c r="B99" s="180" t="str">
        <f>IFERROR(IF(F99="06",데이터입력!$AB$8,IF(F99="07",데이터입력!$AD$8,IF(F99="05",데이터입력!$AF$8,데이터입력!$AB$8))),데이터입력!$AB$8)</f>
        <v>00</v>
      </c>
      <c r="C99" s="584" t="str">
        <f>데이터입력!$AC$9</f>
        <v>일반사업[일반]</v>
      </c>
      <c r="D99" s="185" t="str">
        <f>IFERROR(VLOOKUP($A99,데이터입력!$A:$H,4,FALSE),"")</f>
        <v/>
      </c>
      <c r="E99" s="185" t="str">
        <f>IFERROR(VLOOKUP($A99,데이터입력!$A:$H,2,FALSE),"")</f>
        <v/>
      </c>
      <c r="F99" s="185" t="str">
        <f>IFERROR(VLOOKUP($A99,데이터입력!$A:$H,5,FALSE),"")</f>
        <v/>
      </c>
      <c r="G99" s="185" t="str">
        <f>IFERROR(VLOOKUP($A99,데이터입력!$A:$H,6,FALSE),"")</f>
        <v/>
      </c>
      <c r="H99" s="186" t="str">
        <f>IFERROR(VLOOKUP($A99,데이터입력!$A:$L,8,FALSE)+VLOOKUP($A99,데이터입력!$A:$L,9,FALSE)+VLOOKUP($A99,데이터입력!$A:$L,10,FALSE),"")</f>
        <v/>
      </c>
      <c r="I99" s="181" t="s">
        <v>135</v>
      </c>
      <c r="J99" s="181" t="s">
        <v>135</v>
      </c>
      <c r="K99" s="181" t="s">
        <v>135</v>
      </c>
      <c r="M99" s="182" t="str">
        <f>데이터입력!$AB$8</f>
        <v>00</v>
      </c>
      <c r="N99" s="185" t="str">
        <f>데이터입력!$AC$9</f>
        <v>일반사업[일반]</v>
      </c>
      <c r="O99" s="183" t="str">
        <f>IFERROR(VLOOKUP($A99,#REF!,4,FALSE),"")</f>
        <v/>
      </c>
      <c r="P99" s="183" t="str">
        <f>IFERROR(VLOOKUP($A99,#REF!,5,FALSE),"")</f>
        <v/>
      </c>
      <c r="Q99" s="789" t="str">
        <f>IFERROR(VLOOKUP($A99,#REF!,6,FALSE),"")</f>
        <v/>
      </c>
      <c r="R99" s="183" t="str">
        <f>IFERROR(VLOOKUP($A99,#REF!,7,FALSE),"")</f>
        <v/>
      </c>
      <c r="S99" s="183"/>
      <c r="T99" s="184" t="str">
        <f>IFERROR(VLOOKUP($A99,#REF!,9,FALSE),"")</f>
        <v/>
      </c>
      <c r="U99" s="184" t="str">
        <f>IFERROR(VLOOKUP($A99,#REF!,10,FALSE),"")</f>
        <v/>
      </c>
      <c r="V99" s="184" t="str">
        <f>IFERROR(VLOOKUP($A99,#REF!,11,FALSE),"")</f>
        <v/>
      </c>
      <c r="W99" s="184" t="str">
        <f>IFERROR(VLOOKUP($A99,#REF!,12,FALSE),"")</f>
        <v/>
      </c>
      <c r="X99" s="184" t="str">
        <f>IFERROR(VLOOKUP($A99,#REF!,13,FALSE),"")</f>
        <v/>
      </c>
    </row>
    <row r="100" spans="1:24">
      <c r="A100" s="172">
        <v>98</v>
      </c>
      <c r="B100" s="180" t="str">
        <f>IFERROR(IF(F100="06",데이터입력!$AB$8,IF(F100="07",데이터입력!$AD$8,IF(F100="05",데이터입력!$AF$8,데이터입력!$AB$8))),데이터입력!$AB$8)</f>
        <v>00</v>
      </c>
      <c r="C100" s="584" t="str">
        <f>데이터입력!$AC$9</f>
        <v>일반사업[일반]</v>
      </c>
      <c r="D100" s="185" t="str">
        <f>IFERROR(VLOOKUP($A100,데이터입력!$A:$H,4,FALSE),"")</f>
        <v/>
      </c>
      <c r="E100" s="185" t="str">
        <f>IFERROR(VLOOKUP($A100,데이터입력!$A:$H,2,FALSE),"")</f>
        <v/>
      </c>
      <c r="F100" s="185" t="str">
        <f>IFERROR(VLOOKUP($A100,데이터입력!$A:$H,5,FALSE),"")</f>
        <v/>
      </c>
      <c r="G100" s="185" t="str">
        <f>IFERROR(VLOOKUP($A100,데이터입력!$A:$H,6,FALSE),"")</f>
        <v/>
      </c>
      <c r="H100" s="186" t="str">
        <f>IFERROR(VLOOKUP($A100,데이터입력!$A:$L,8,FALSE)+VLOOKUP($A100,데이터입력!$A:$L,9,FALSE)+VLOOKUP($A100,데이터입력!$A:$L,10,FALSE),"")</f>
        <v/>
      </c>
      <c r="I100" s="181" t="s">
        <v>135</v>
      </c>
      <c r="J100" s="181" t="s">
        <v>135</v>
      </c>
      <c r="K100" s="181" t="s">
        <v>135</v>
      </c>
      <c r="M100" s="182" t="str">
        <f>데이터입력!$AB$8</f>
        <v>00</v>
      </c>
      <c r="N100" s="185" t="str">
        <f>데이터입력!$AC$9</f>
        <v>일반사업[일반]</v>
      </c>
      <c r="O100" s="183" t="str">
        <f>IFERROR(VLOOKUP($A100,#REF!,4,FALSE),"")</f>
        <v/>
      </c>
      <c r="P100" s="183" t="str">
        <f>IFERROR(VLOOKUP($A100,#REF!,5,FALSE),"")</f>
        <v/>
      </c>
      <c r="Q100" s="789" t="str">
        <f>IFERROR(VLOOKUP($A100,#REF!,6,FALSE),"")</f>
        <v/>
      </c>
      <c r="R100" s="183" t="str">
        <f>IFERROR(VLOOKUP($A100,#REF!,7,FALSE),"")</f>
        <v/>
      </c>
      <c r="S100" s="183"/>
      <c r="T100" s="184" t="str">
        <f>IFERROR(VLOOKUP($A100,#REF!,9,FALSE),"")</f>
        <v/>
      </c>
      <c r="U100" s="184" t="str">
        <f>IFERROR(VLOOKUP($A100,#REF!,10,FALSE),"")</f>
        <v/>
      </c>
      <c r="V100" s="184" t="str">
        <f>IFERROR(VLOOKUP($A100,#REF!,11,FALSE),"")</f>
        <v/>
      </c>
      <c r="W100" s="184" t="str">
        <f>IFERROR(VLOOKUP($A100,#REF!,12,FALSE),"")</f>
        <v/>
      </c>
      <c r="X100" s="184" t="str">
        <f>IFERROR(VLOOKUP($A100,#REF!,13,FALSE),"")</f>
        <v/>
      </c>
    </row>
    <row r="101" spans="1:24">
      <c r="A101" s="172">
        <v>99</v>
      </c>
      <c r="B101" s="180" t="str">
        <f>IFERROR(IF(F101="06",데이터입력!$AB$8,IF(F101="07",데이터입력!$AD$8,IF(F101="05",데이터입력!$AF$8,데이터입력!$AB$8))),데이터입력!$AB$8)</f>
        <v>00</v>
      </c>
      <c r="C101" s="584" t="str">
        <f>데이터입력!$AC$9</f>
        <v>일반사업[일반]</v>
      </c>
      <c r="D101" s="185" t="str">
        <f>IFERROR(VLOOKUP($A101,데이터입력!$A:$H,4,FALSE),"")</f>
        <v/>
      </c>
      <c r="E101" s="185" t="str">
        <f>IFERROR(VLOOKUP($A101,데이터입력!$A:$H,2,FALSE),"")</f>
        <v/>
      </c>
      <c r="F101" s="185" t="str">
        <f>IFERROR(VLOOKUP($A101,데이터입력!$A:$H,5,FALSE),"")</f>
        <v/>
      </c>
      <c r="G101" s="185" t="str">
        <f>IFERROR(VLOOKUP($A101,데이터입력!$A:$H,6,FALSE),"")</f>
        <v/>
      </c>
      <c r="H101" s="186" t="str">
        <f>IFERROR(VLOOKUP($A101,데이터입력!$A:$L,8,FALSE)+VLOOKUP($A101,데이터입력!$A:$L,9,FALSE)+VLOOKUP($A101,데이터입력!$A:$L,10,FALSE),"")</f>
        <v/>
      </c>
      <c r="I101" s="181" t="s">
        <v>135</v>
      </c>
      <c r="J101" s="181" t="s">
        <v>135</v>
      </c>
      <c r="K101" s="181" t="s">
        <v>135</v>
      </c>
      <c r="M101" s="182" t="str">
        <f>데이터입력!$AB$8</f>
        <v>00</v>
      </c>
      <c r="N101" s="185" t="str">
        <f>데이터입력!$AC$9</f>
        <v>일반사업[일반]</v>
      </c>
      <c r="O101" s="183" t="str">
        <f>IFERROR(VLOOKUP($A101,#REF!,4,FALSE),"")</f>
        <v/>
      </c>
      <c r="P101" s="183" t="str">
        <f>IFERROR(VLOOKUP($A101,#REF!,5,FALSE),"")</f>
        <v/>
      </c>
      <c r="Q101" s="789" t="str">
        <f>IFERROR(VLOOKUP($A101,#REF!,6,FALSE),"")</f>
        <v/>
      </c>
      <c r="R101" s="183" t="str">
        <f>IFERROR(VLOOKUP($A101,#REF!,7,FALSE),"")</f>
        <v/>
      </c>
      <c r="S101" s="183"/>
      <c r="T101" s="184" t="str">
        <f>IFERROR(VLOOKUP($A101,#REF!,9,FALSE),"")</f>
        <v/>
      </c>
      <c r="U101" s="184" t="str">
        <f>IFERROR(VLOOKUP($A101,#REF!,10,FALSE),"")</f>
        <v/>
      </c>
      <c r="V101" s="184" t="str">
        <f>IFERROR(VLOOKUP($A101,#REF!,11,FALSE),"")</f>
        <v/>
      </c>
      <c r="W101" s="184" t="str">
        <f>IFERROR(VLOOKUP($A101,#REF!,12,FALSE),"")</f>
        <v/>
      </c>
      <c r="X101" s="184" t="str">
        <f>IFERROR(VLOOKUP($A101,#REF!,13,FALSE),"")</f>
        <v/>
      </c>
    </row>
    <row r="102" spans="1:24">
      <c r="A102" s="172">
        <v>100</v>
      </c>
      <c r="B102" s="180" t="str">
        <f>IFERROR(IF(F102="06",데이터입력!$AB$8,IF(F102="07",데이터입력!$AD$8,IF(F102="05",데이터입력!$AF$8,데이터입력!$AB$8))),데이터입력!$AB$8)</f>
        <v>00</v>
      </c>
      <c r="C102" s="584" t="str">
        <f>데이터입력!$AC$9</f>
        <v>일반사업[일반]</v>
      </c>
      <c r="D102" s="185" t="str">
        <f>IFERROR(VLOOKUP($A102,데이터입력!$A:$H,4,FALSE),"")</f>
        <v/>
      </c>
      <c r="E102" s="185" t="str">
        <f>IFERROR(VLOOKUP($A102,데이터입력!$A:$H,2,FALSE),"")</f>
        <v/>
      </c>
      <c r="F102" s="185" t="str">
        <f>IFERROR(VLOOKUP($A102,데이터입력!$A:$H,5,FALSE),"")</f>
        <v/>
      </c>
      <c r="G102" s="185" t="str">
        <f>IFERROR(VLOOKUP($A102,데이터입력!$A:$H,6,FALSE),"")</f>
        <v/>
      </c>
      <c r="H102" s="186" t="str">
        <f>IFERROR(VLOOKUP($A102,데이터입력!$A:$L,8,FALSE)+VLOOKUP($A102,데이터입력!$A:$L,9,FALSE)+VLOOKUP($A102,데이터입력!$A:$L,10,FALSE),"")</f>
        <v/>
      </c>
      <c r="I102" s="181" t="s">
        <v>135</v>
      </c>
      <c r="J102" s="181" t="s">
        <v>135</v>
      </c>
      <c r="K102" s="181" t="s">
        <v>135</v>
      </c>
      <c r="M102" s="182" t="str">
        <f>데이터입력!$AB$8</f>
        <v>00</v>
      </c>
      <c r="N102" s="185" t="str">
        <f>데이터입력!$AC$9</f>
        <v>일반사업[일반]</v>
      </c>
      <c r="O102" s="183" t="str">
        <f>IFERROR(VLOOKUP($A102,#REF!,4,FALSE),"")</f>
        <v/>
      </c>
      <c r="P102" s="183" t="str">
        <f>IFERROR(VLOOKUP($A102,#REF!,5,FALSE),"")</f>
        <v/>
      </c>
      <c r="Q102" s="789" t="str">
        <f>IFERROR(VLOOKUP($A102,#REF!,6,FALSE),"")</f>
        <v/>
      </c>
      <c r="R102" s="183" t="str">
        <f>IFERROR(VLOOKUP($A102,#REF!,7,FALSE),"")</f>
        <v/>
      </c>
      <c r="S102" s="183"/>
      <c r="T102" s="184" t="str">
        <f>IFERROR(VLOOKUP($A102,#REF!,9,FALSE),"")</f>
        <v/>
      </c>
      <c r="U102" s="184" t="str">
        <f>IFERROR(VLOOKUP($A102,#REF!,10,FALSE),"")</f>
        <v/>
      </c>
      <c r="V102" s="184" t="str">
        <f>IFERROR(VLOOKUP($A102,#REF!,11,FALSE),"")</f>
        <v/>
      </c>
      <c r="W102" s="184" t="str">
        <f>IFERROR(VLOOKUP($A102,#REF!,12,FALSE),"")</f>
        <v/>
      </c>
      <c r="X102" s="184" t="str">
        <f>IFERROR(VLOOKUP($A102,#REF!,13,FALSE),"")</f>
        <v/>
      </c>
    </row>
    <row r="103" spans="1:24">
      <c r="A103" s="172">
        <v>101</v>
      </c>
      <c r="B103" s="180" t="str">
        <f>IFERROR(IF(F103="06",데이터입력!$AB$8,IF(F103="07",데이터입력!$AD$8,IF(F103="05",데이터입력!$AF$8,데이터입력!$AB$8))),데이터입력!$AB$8)</f>
        <v>00</v>
      </c>
      <c r="C103" s="584" t="str">
        <f>데이터입력!$AC$9</f>
        <v>일반사업[일반]</v>
      </c>
      <c r="D103" s="185" t="str">
        <f>IFERROR(VLOOKUP($A103,데이터입력!$A:$H,4,FALSE),"")</f>
        <v/>
      </c>
      <c r="E103" s="185" t="str">
        <f>IFERROR(VLOOKUP($A103,데이터입력!$A:$H,2,FALSE),"")</f>
        <v/>
      </c>
      <c r="F103" s="185" t="str">
        <f>IFERROR(VLOOKUP($A103,데이터입력!$A:$H,5,FALSE),"")</f>
        <v/>
      </c>
      <c r="G103" s="185" t="str">
        <f>IFERROR(VLOOKUP($A103,데이터입력!$A:$H,6,FALSE),"")</f>
        <v/>
      </c>
      <c r="H103" s="186" t="str">
        <f>IFERROR(VLOOKUP($A103,데이터입력!$A:$L,8,FALSE)+VLOOKUP($A103,데이터입력!$A:$L,9,FALSE)+VLOOKUP($A103,데이터입력!$A:$L,10,FALSE),"")</f>
        <v/>
      </c>
      <c r="I103" s="181" t="s">
        <v>135</v>
      </c>
      <c r="J103" s="181" t="s">
        <v>135</v>
      </c>
      <c r="K103" s="181" t="s">
        <v>135</v>
      </c>
      <c r="M103" s="182" t="str">
        <f>데이터입력!$AB$8</f>
        <v>00</v>
      </c>
      <c r="N103" s="185" t="str">
        <f>데이터입력!$AC$9</f>
        <v>일반사업[일반]</v>
      </c>
      <c r="O103" s="183" t="str">
        <f>IFERROR(VLOOKUP($A103,#REF!,4,FALSE),"")</f>
        <v/>
      </c>
      <c r="P103" s="183" t="str">
        <f>IFERROR(VLOOKUP($A103,#REF!,5,FALSE),"")</f>
        <v/>
      </c>
      <c r="Q103" s="789" t="str">
        <f>IFERROR(VLOOKUP($A103,#REF!,6,FALSE),"")</f>
        <v/>
      </c>
      <c r="R103" s="183" t="str">
        <f>IFERROR(VLOOKUP($A103,#REF!,7,FALSE),"")</f>
        <v/>
      </c>
      <c r="S103" s="183"/>
      <c r="T103" s="184" t="str">
        <f>IFERROR(VLOOKUP($A103,#REF!,9,FALSE),"")</f>
        <v/>
      </c>
      <c r="U103" s="184" t="str">
        <f>IFERROR(VLOOKUP($A103,#REF!,10,FALSE),"")</f>
        <v/>
      </c>
      <c r="V103" s="184" t="str">
        <f>IFERROR(VLOOKUP($A103,#REF!,11,FALSE),"")</f>
        <v/>
      </c>
      <c r="W103" s="184" t="str">
        <f>IFERROR(VLOOKUP($A103,#REF!,12,FALSE),"")</f>
        <v/>
      </c>
      <c r="X103" s="184" t="str">
        <f>IFERROR(VLOOKUP($A103,#REF!,13,FALSE),"")</f>
        <v/>
      </c>
    </row>
    <row r="104" spans="1:24">
      <c r="A104" s="172">
        <v>102</v>
      </c>
      <c r="B104" s="180" t="str">
        <f>IFERROR(IF(F104="06",데이터입력!$AB$8,IF(F104="07",데이터입력!$AD$8,IF(F104="05",데이터입력!$AF$8,데이터입력!$AB$8))),데이터입력!$AB$8)</f>
        <v>00</v>
      </c>
      <c r="C104" s="584" t="str">
        <f>데이터입력!$AC$9</f>
        <v>일반사업[일반]</v>
      </c>
      <c r="D104" s="185" t="str">
        <f>IFERROR(VLOOKUP($A104,데이터입력!$A:$H,4,FALSE),"")</f>
        <v/>
      </c>
      <c r="E104" s="185" t="str">
        <f>IFERROR(VLOOKUP($A104,데이터입력!$A:$H,2,FALSE),"")</f>
        <v/>
      </c>
      <c r="F104" s="185" t="str">
        <f>IFERROR(VLOOKUP($A104,데이터입력!$A:$H,5,FALSE),"")</f>
        <v/>
      </c>
      <c r="G104" s="185" t="str">
        <f>IFERROR(VLOOKUP($A104,데이터입력!$A:$H,6,FALSE),"")</f>
        <v/>
      </c>
      <c r="H104" s="186" t="str">
        <f>IFERROR(VLOOKUP($A104,데이터입력!$A:$L,8,FALSE)+VLOOKUP($A104,데이터입력!$A:$L,9,FALSE)+VLOOKUP($A104,데이터입력!$A:$L,10,FALSE),"")</f>
        <v/>
      </c>
      <c r="I104" s="181" t="s">
        <v>135</v>
      </c>
      <c r="J104" s="181" t="s">
        <v>135</v>
      </c>
      <c r="K104" s="181" t="s">
        <v>135</v>
      </c>
      <c r="M104" s="182" t="str">
        <f>데이터입력!$AB$8</f>
        <v>00</v>
      </c>
      <c r="N104" s="185" t="str">
        <f>데이터입력!$AC$9</f>
        <v>일반사업[일반]</v>
      </c>
      <c r="O104" s="183" t="str">
        <f>IFERROR(VLOOKUP($A104,#REF!,4,FALSE),"")</f>
        <v/>
      </c>
      <c r="P104" s="183" t="str">
        <f>IFERROR(VLOOKUP($A104,#REF!,5,FALSE),"")</f>
        <v/>
      </c>
      <c r="Q104" s="789" t="str">
        <f>IFERROR(VLOOKUP($A104,#REF!,6,FALSE),"")</f>
        <v/>
      </c>
      <c r="R104" s="183" t="str">
        <f>IFERROR(VLOOKUP($A104,#REF!,7,FALSE),"")</f>
        <v/>
      </c>
      <c r="S104" s="183"/>
      <c r="T104" s="184" t="str">
        <f>IFERROR(VLOOKUP($A104,#REF!,9,FALSE),"")</f>
        <v/>
      </c>
      <c r="U104" s="184" t="str">
        <f>IFERROR(VLOOKUP($A104,#REF!,10,FALSE),"")</f>
        <v/>
      </c>
      <c r="V104" s="184" t="str">
        <f>IFERROR(VLOOKUP($A104,#REF!,11,FALSE),"")</f>
        <v/>
      </c>
      <c r="W104" s="184" t="str">
        <f>IFERROR(VLOOKUP($A104,#REF!,12,FALSE),"")</f>
        <v/>
      </c>
      <c r="X104" s="184" t="str">
        <f>IFERROR(VLOOKUP($A104,#REF!,13,FALSE),"")</f>
        <v/>
      </c>
    </row>
    <row r="105" spans="1:24">
      <c r="A105" s="172">
        <v>103</v>
      </c>
      <c r="B105" s="180" t="str">
        <f>IFERROR(IF(F105="06",데이터입력!$AB$8,IF(F105="07",데이터입력!$AD$8,IF(F105="05",데이터입력!$AF$8,데이터입력!$AB$8))),데이터입력!$AB$8)</f>
        <v>00</v>
      </c>
      <c r="C105" s="584" t="str">
        <f>데이터입력!$AC$9</f>
        <v>일반사업[일반]</v>
      </c>
      <c r="D105" s="185" t="str">
        <f>IFERROR(VLOOKUP($A105,데이터입력!$A:$H,4,FALSE),"")</f>
        <v/>
      </c>
      <c r="E105" s="185" t="str">
        <f>IFERROR(VLOOKUP($A105,데이터입력!$A:$H,2,FALSE),"")</f>
        <v/>
      </c>
      <c r="F105" s="185" t="str">
        <f>IFERROR(VLOOKUP($A105,데이터입력!$A:$H,5,FALSE),"")</f>
        <v/>
      </c>
      <c r="G105" s="185" t="str">
        <f>IFERROR(VLOOKUP($A105,데이터입력!$A:$H,6,FALSE),"")</f>
        <v/>
      </c>
      <c r="H105" s="186" t="str">
        <f>IFERROR(VLOOKUP($A105,데이터입력!$A:$L,8,FALSE)+VLOOKUP($A105,데이터입력!$A:$L,9,FALSE)+VLOOKUP($A105,데이터입력!$A:$L,10,FALSE),"")</f>
        <v/>
      </c>
      <c r="I105" s="181" t="s">
        <v>135</v>
      </c>
      <c r="J105" s="181" t="s">
        <v>135</v>
      </c>
      <c r="K105" s="181" t="s">
        <v>135</v>
      </c>
      <c r="M105" s="182" t="str">
        <f>데이터입력!$AB$8</f>
        <v>00</v>
      </c>
      <c r="N105" s="185" t="str">
        <f>데이터입력!$AC$9</f>
        <v>일반사업[일반]</v>
      </c>
      <c r="O105" s="183" t="str">
        <f>IFERROR(VLOOKUP($A105,#REF!,4,FALSE),"")</f>
        <v/>
      </c>
      <c r="P105" s="183" t="str">
        <f>IFERROR(VLOOKUP($A105,#REF!,5,FALSE),"")</f>
        <v/>
      </c>
      <c r="Q105" s="789" t="str">
        <f>IFERROR(VLOOKUP($A105,#REF!,6,FALSE),"")</f>
        <v/>
      </c>
      <c r="R105" s="183" t="str">
        <f>IFERROR(VLOOKUP($A105,#REF!,7,FALSE),"")</f>
        <v/>
      </c>
      <c r="S105" s="183"/>
      <c r="T105" s="184" t="str">
        <f>IFERROR(VLOOKUP($A105,#REF!,9,FALSE),"")</f>
        <v/>
      </c>
      <c r="U105" s="184" t="str">
        <f>IFERROR(VLOOKUP($A105,#REF!,10,FALSE),"")</f>
        <v/>
      </c>
      <c r="V105" s="184" t="str">
        <f>IFERROR(VLOOKUP($A105,#REF!,11,FALSE),"")</f>
        <v/>
      </c>
      <c r="W105" s="184" t="str">
        <f>IFERROR(VLOOKUP($A105,#REF!,12,FALSE),"")</f>
        <v/>
      </c>
      <c r="X105" s="184" t="str">
        <f>IFERROR(VLOOKUP($A105,#REF!,13,FALSE),"")</f>
        <v/>
      </c>
    </row>
    <row r="106" spans="1:24">
      <c r="A106" s="172">
        <v>104</v>
      </c>
      <c r="B106" s="180" t="str">
        <f>IFERROR(IF(F106="06",데이터입력!$AB$8,IF(F106="07",데이터입력!$AD$8,IF(F106="05",데이터입력!$AF$8,데이터입력!$AB$8))),데이터입력!$AB$8)</f>
        <v>00</v>
      </c>
      <c r="C106" s="584" t="str">
        <f>데이터입력!$AC$9</f>
        <v>일반사업[일반]</v>
      </c>
      <c r="D106" s="185" t="str">
        <f>IFERROR(VLOOKUP($A106,데이터입력!$A:$H,4,FALSE),"")</f>
        <v/>
      </c>
      <c r="E106" s="185" t="str">
        <f>IFERROR(VLOOKUP($A106,데이터입력!$A:$H,2,FALSE),"")</f>
        <v/>
      </c>
      <c r="F106" s="185" t="str">
        <f>IFERROR(VLOOKUP($A106,데이터입력!$A:$H,5,FALSE),"")</f>
        <v/>
      </c>
      <c r="G106" s="185" t="str">
        <f>IFERROR(VLOOKUP($A106,데이터입력!$A:$H,6,FALSE),"")</f>
        <v/>
      </c>
      <c r="H106" s="186" t="str">
        <f>IFERROR(VLOOKUP($A106,데이터입력!$A:$L,8,FALSE)+VLOOKUP($A106,데이터입력!$A:$L,9,FALSE)+VLOOKUP($A106,데이터입력!$A:$L,10,FALSE),"")</f>
        <v/>
      </c>
      <c r="I106" s="181" t="s">
        <v>135</v>
      </c>
      <c r="J106" s="181" t="s">
        <v>135</v>
      </c>
      <c r="K106" s="181" t="s">
        <v>135</v>
      </c>
      <c r="M106" s="182" t="str">
        <f>데이터입력!$AB$8</f>
        <v>00</v>
      </c>
      <c r="N106" s="185" t="str">
        <f>데이터입력!$AC$9</f>
        <v>일반사업[일반]</v>
      </c>
      <c r="O106" s="183" t="str">
        <f>IFERROR(VLOOKUP($A106,#REF!,4,FALSE),"")</f>
        <v/>
      </c>
      <c r="P106" s="183" t="str">
        <f>IFERROR(VLOOKUP($A106,#REF!,5,FALSE),"")</f>
        <v/>
      </c>
      <c r="Q106" s="789" t="str">
        <f>IFERROR(VLOOKUP($A106,#REF!,6,FALSE),"")</f>
        <v/>
      </c>
      <c r="R106" s="183" t="str">
        <f>IFERROR(VLOOKUP($A106,#REF!,7,FALSE),"")</f>
        <v/>
      </c>
      <c r="S106" s="183"/>
      <c r="T106" s="184" t="str">
        <f>IFERROR(VLOOKUP($A106,#REF!,9,FALSE),"")</f>
        <v/>
      </c>
      <c r="U106" s="184" t="str">
        <f>IFERROR(VLOOKUP($A106,#REF!,10,FALSE),"")</f>
        <v/>
      </c>
      <c r="V106" s="184" t="str">
        <f>IFERROR(VLOOKUP($A106,#REF!,11,FALSE),"")</f>
        <v/>
      </c>
      <c r="W106" s="184" t="str">
        <f>IFERROR(VLOOKUP($A106,#REF!,12,FALSE),"")</f>
        <v/>
      </c>
      <c r="X106" s="184" t="str">
        <f>IFERROR(VLOOKUP($A106,#REF!,13,FALSE),"")</f>
        <v/>
      </c>
    </row>
    <row r="107" spans="1:24">
      <c r="A107" s="172">
        <v>105</v>
      </c>
      <c r="B107" s="180" t="str">
        <f>IFERROR(IF(F107="06",데이터입력!$AB$8,IF(F107="07",데이터입력!$AD$8,IF(F107="05",데이터입력!$AF$8,데이터입력!$AB$8))),데이터입력!$AB$8)</f>
        <v>00</v>
      </c>
      <c r="C107" s="584" t="str">
        <f>데이터입력!$AC$9</f>
        <v>일반사업[일반]</v>
      </c>
      <c r="D107" s="185" t="str">
        <f>IFERROR(VLOOKUP($A107,데이터입력!$A:$H,4,FALSE),"")</f>
        <v/>
      </c>
      <c r="E107" s="185" t="str">
        <f>IFERROR(VLOOKUP($A107,데이터입력!$A:$H,2,FALSE),"")</f>
        <v/>
      </c>
      <c r="F107" s="185" t="str">
        <f>IFERROR(VLOOKUP($A107,데이터입력!$A:$H,5,FALSE),"")</f>
        <v/>
      </c>
      <c r="G107" s="185" t="str">
        <f>IFERROR(VLOOKUP($A107,데이터입력!$A:$H,6,FALSE),"")</f>
        <v/>
      </c>
      <c r="H107" s="186" t="str">
        <f>IFERROR(VLOOKUP($A107,데이터입력!$A:$L,8,FALSE)+VLOOKUP($A107,데이터입력!$A:$L,9,FALSE)+VLOOKUP($A107,데이터입력!$A:$L,10,FALSE),"")</f>
        <v/>
      </c>
      <c r="I107" s="181" t="s">
        <v>135</v>
      </c>
      <c r="J107" s="181" t="s">
        <v>135</v>
      </c>
      <c r="K107" s="181" t="s">
        <v>135</v>
      </c>
      <c r="M107" s="182" t="str">
        <f>데이터입력!$AB$8</f>
        <v>00</v>
      </c>
      <c r="N107" s="185" t="str">
        <f>데이터입력!$AC$9</f>
        <v>일반사업[일반]</v>
      </c>
      <c r="O107" s="183" t="str">
        <f>IFERROR(VLOOKUP($A107,#REF!,4,FALSE),"")</f>
        <v/>
      </c>
      <c r="P107" s="183" t="str">
        <f>IFERROR(VLOOKUP($A107,#REF!,5,FALSE),"")</f>
        <v/>
      </c>
      <c r="Q107" s="789" t="str">
        <f>IFERROR(VLOOKUP($A107,#REF!,6,FALSE),"")</f>
        <v/>
      </c>
      <c r="R107" s="183" t="str">
        <f>IFERROR(VLOOKUP($A107,#REF!,7,FALSE),"")</f>
        <v/>
      </c>
      <c r="S107" s="183"/>
      <c r="T107" s="184" t="str">
        <f>IFERROR(VLOOKUP($A107,#REF!,9,FALSE),"")</f>
        <v/>
      </c>
      <c r="U107" s="184" t="str">
        <f>IFERROR(VLOOKUP($A107,#REF!,10,FALSE),"")</f>
        <v/>
      </c>
      <c r="V107" s="184" t="str">
        <f>IFERROR(VLOOKUP($A107,#REF!,11,FALSE),"")</f>
        <v/>
      </c>
      <c r="W107" s="184" t="str">
        <f>IFERROR(VLOOKUP($A107,#REF!,12,FALSE),"")</f>
        <v/>
      </c>
      <c r="X107" s="184" t="str">
        <f>IFERROR(VLOOKUP($A107,#REF!,13,FALSE),"")</f>
        <v/>
      </c>
    </row>
    <row r="108" spans="1:24">
      <c r="A108" s="172">
        <v>106</v>
      </c>
      <c r="B108" s="180" t="str">
        <f>IFERROR(IF(F108="06",데이터입력!$AB$8,IF(F108="07",데이터입력!$AD$8,IF(F108="05",데이터입력!$AF$8,데이터입력!$AB$8))),데이터입력!$AB$8)</f>
        <v>00</v>
      </c>
      <c r="C108" s="584" t="str">
        <f>데이터입력!$AC$9</f>
        <v>일반사업[일반]</v>
      </c>
      <c r="D108" s="185" t="str">
        <f>IFERROR(VLOOKUP($A108,데이터입력!$A:$H,4,FALSE),"")</f>
        <v/>
      </c>
      <c r="E108" s="185" t="str">
        <f>IFERROR(VLOOKUP($A108,데이터입력!$A:$H,2,FALSE),"")</f>
        <v/>
      </c>
      <c r="F108" s="185" t="str">
        <f>IFERROR(VLOOKUP($A108,데이터입력!$A:$H,5,FALSE),"")</f>
        <v/>
      </c>
      <c r="G108" s="185" t="str">
        <f>IFERROR(VLOOKUP($A108,데이터입력!$A:$H,6,FALSE),"")</f>
        <v/>
      </c>
      <c r="H108" s="186" t="str">
        <f>IFERROR(VLOOKUP($A108,데이터입력!$A:$L,8,FALSE)+VLOOKUP($A108,데이터입력!$A:$L,9,FALSE)+VLOOKUP($A108,데이터입력!$A:$L,10,FALSE),"")</f>
        <v/>
      </c>
      <c r="I108" s="181" t="s">
        <v>135</v>
      </c>
      <c r="J108" s="181" t="s">
        <v>135</v>
      </c>
      <c r="K108" s="181" t="s">
        <v>135</v>
      </c>
      <c r="M108" s="182" t="str">
        <f>데이터입력!$AB$8</f>
        <v>00</v>
      </c>
      <c r="N108" s="185" t="str">
        <f>데이터입력!$AC$9</f>
        <v>일반사업[일반]</v>
      </c>
      <c r="O108" s="183" t="str">
        <f>IFERROR(VLOOKUP($A108,#REF!,4,FALSE),"")</f>
        <v/>
      </c>
      <c r="P108" s="183" t="str">
        <f>IFERROR(VLOOKUP($A108,#REF!,5,FALSE),"")</f>
        <v/>
      </c>
      <c r="Q108" s="789" t="str">
        <f>IFERROR(VLOOKUP($A108,#REF!,6,FALSE),"")</f>
        <v/>
      </c>
      <c r="R108" s="183" t="str">
        <f>IFERROR(VLOOKUP($A108,#REF!,7,FALSE),"")</f>
        <v/>
      </c>
      <c r="S108" s="183"/>
      <c r="T108" s="184" t="str">
        <f>IFERROR(VLOOKUP($A108,#REF!,9,FALSE),"")</f>
        <v/>
      </c>
      <c r="U108" s="184" t="str">
        <f>IFERROR(VLOOKUP($A108,#REF!,10,FALSE),"")</f>
        <v/>
      </c>
      <c r="V108" s="184" t="str">
        <f>IFERROR(VLOOKUP($A108,#REF!,11,FALSE),"")</f>
        <v/>
      </c>
      <c r="W108" s="184" t="str">
        <f>IFERROR(VLOOKUP($A108,#REF!,12,FALSE),"")</f>
        <v/>
      </c>
      <c r="X108" s="184" t="str">
        <f>IFERROR(VLOOKUP($A108,#REF!,13,FALSE),"")</f>
        <v/>
      </c>
    </row>
    <row r="109" spans="1:24">
      <c r="A109" s="172">
        <v>107</v>
      </c>
      <c r="B109" s="180" t="str">
        <f>IFERROR(IF(F109="06",데이터입력!$AB$8,IF(F109="07",데이터입력!$AD$8,IF(F109="05",데이터입력!$AF$8,데이터입력!$AB$8))),데이터입력!$AB$8)</f>
        <v>00</v>
      </c>
      <c r="C109" s="584" t="str">
        <f>데이터입력!$AC$9</f>
        <v>일반사업[일반]</v>
      </c>
      <c r="D109" s="185" t="str">
        <f>IFERROR(VLOOKUP($A109,데이터입력!$A:$H,4,FALSE),"")</f>
        <v/>
      </c>
      <c r="E109" s="185" t="str">
        <f>IFERROR(VLOOKUP($A109,데이터입력!$A:$H,2,FALSE),"")</f>
        <v/>
      </c>
      <c r="F109" s="185" t="str">
        <f>IFERROR(VLOOKUP($A109,데이터입력!$A:$H,5,FALSE),"")</f>
        <v/>
      </c>
      <c r="G109" s="185" t="str">
        <f>IFERROR(VLOOKUP($A109,데이터입력!$A:$H,6,FALSE),"")</f>
        <v/>
      </c>
      <c r="H109" s="186" t="str">
        <f>IFERROR(VLOOKUP($A109,데이터입력!$A:$L,8,FALSE)+VLOOKUP($A109,데이터입력!$A:$L,9,FALSE)+VLOOKUP($A109,데이터입력!$A:$L,10,FALSE),"")</f>
        <v/>
      </c>
      <c r="I109" s="181" t="s">
        <v>135</v>
      </c>
      <c r="J109" s="181" t="s">
        <v>135</v>
      </c>
      <c r="K109" s="181" t="s">
        <v>135</v>
      </c>
      <c r="M109" s="182" t="str">
        <f>데이터입력!$AB$8</f>
        <v>00</v>
      </c>
      <c r="N109" s="185" t="str">
        <f>데이터입력!$AC$9</f>
        <v>일반사업[일반]</v>
      </c>
      <c r="O109" s="183" t="str">
        <f>IFERROR(VLOOKUP($A109,#REF!,4,FALSE),"")</f>
        <v/>
      </c>
      <c r="P109" s="183" t="str">
        <f>IFERROR(VLOOKUP($A109,#REF!,5,FALSE),"")</f>
        <v/>
      </c>
      <c r="Q109" s="789" t="str">
        <f>IFERROR(VLOOKUP($A109,#REF!,6,FALSE),"")</f>
        <v/>
      </c>
      <c r="R109" s="183" t="str">
        <f>IFERROR(VLOOKUP($A109,#REF!,7,FALSE),"")</f>
        <v/>
      </c>
      <c r="S109" s="183"/>
      <c r="T109" s="184" t="str">
        <f>IFERROR(VLOOKUP($A109,#REF!,9,FALSE),"")</f>
        <v/>
      </c>
      <c r="U109" s="184" t="str">
        <f>IFERROR(VLOOKUP($A109,#REF!,10,FALSE),"")</f>
        <v/>
      </c>
      <c r="V109" s="184" t="str">
        <f>IFERROR(VLOOKUP($A109,#REF!,11,FALSE),"")</f>
        <v/>
      </c>
      <c r="W109" s="184" t="str">
        <f>IFERROR(VLOOKUP($A109,#REF!,12,FALSE),"")</f>
        <v/>
      </c>
      <c r="X109" s="184" t="str">
        <f>IFERROR(VLOOKUP($A109,#REF!,13,FALSE),"")</f>
        <v/>
      </c>
    </row>
    <row r="110" spans="1:24">
      <c r="A110" s="172">
        <v>108</v>
      </c>
      <c r="B110" s="180" t="str">
        <f>IFERROR(IF(F110="06",데이터입력!$AB$8,IF(F110="07",데이터입력!$AD$8,IF(F110="05",데이터입력!$AF$8,데이터입력!$AB$8))),데이터입력!$AB$8)</f>
        <v>00</v>
      </c>
      <c r="C110" s="584" t="str">
        <f>데이터입력!$AC$9</f>
        <v>일반사업[일반]</v>
      </c>
      <c r="D110" s="185" t="str">
        <f>IFERROR(VLOOKUP($A110,데이터입력!$A:$H,4,FALSE),"")</f>
        <v/>
      </c>
      <c r="E110" s="185" t="str">
        <f>IFERROR(VLOOKUP($A110,데이터입력!$A:$H,2,FALSE),"")</f>
        <v/>
      </c>
      <c r="F110" s="185" t="str">
        <f>IFERROR(VLOOKUP($A110,데이터입력!$A:$H,5,FALSE),"")</f>
        <v/>
      </c>
      <c r="G110" s="185" t="str">
        <f>IFERROR(VLOOKUP($A110,데이터입력!$A:$H,6,FALSE),"")</f>
        <v/>
      </c>
      <c r="H110" s="186" t="str">
        <f>IFERROR(VLOOKUP($A110,데이터입력!$A:$L,8,FALSE)+VLOOKUP($A110,데이터입력!$A:$L,9,FALSE)+VLOOKUP($A110,데이터입력!$A:$L,10,FALSE),"")</f>
        <v/>
      </c>
      <c r="I110" s="181" t="s">
        <v>135</v>
      </c>
      <c r="J110" s="181" t="s">
        <v>135</v>
      </c>
      <c r="K110" s="181" t="s">
        <v>135</v>
      </c>
      <c r="M110" s="182" t="str">
        <f>데이터입력!$AB$8</f>
        <v>00</v>
      </c>
      <c r="N110" s="185" t="str">
        <f>데이터입력!$AC$9</f>
        <v>일반사업[일반]</v>
      </c>
      <c r="O110" s="183" t="str">
        <f>IFERROR(VLOOKUP($A110,#REF!,4,FALSE),"")</f>
        <v/>
      </c>
      <c r="P110" s="183" t="str">
        <f>IFERROR(VLOOKUP($A110,#REF!,5,FALSE),"")</f>
        <v/>
      </c>
      <c r="Q110" s="789" t="str">
        <f>IFERROR(VLOOKUP($A110,#REF!,6,FALSE),"")</f>
        <v/>
      </c>
      <c r="R110" s="183" t="str">
        <f>IFERROR(VLOOKUP($A110,#REF!,7,FALSE),"")</f>
        <v/>
      </c>
      <c r="S110" s="183"/>
      <c r="T110" s="184" t="str">
        <f>IFERROR(VLOOKUP($A110,#REF!,9,FALSE),"")</f>
        <v/>
      </c>
      <c r="U110" s="184" t="str">
        <f>IFERROR(VLOOKUP($A110,#REF!,10,FALSE),"")</f>
        <v/>
      </c>
      <c r="V110" s="184" t="str">
        <f>IFERROR(VLOOKUP($A110,#REF!,11,FALSE),"")</f>
        <v/>
      </c>
      <c r="W110" s="184" t="str">
        <f>IFERROR(VLOOKUP($A110,#REF!,12,FALSE),"")</f>
        <v/>
      </c>
      <c r="X110" s="184" t="str">
        <f>IFERROR(VLOOKUP($A110,#REF!,13,FALSE),"")</f>
        <v/>
      </c>
    </row>
    <row r="111" spans="1:24">
      <c r="A111" s="172">
        <v>109</v>
      </c>
      <c r="B111" s="180" t="str">
        <f>IFERROR(IF(F111="06",데이터입력!$AB$8,IF(F111="07",데이터입력!$AD$8,IF(F111="05",데이터입력!$AF$8,데이터입력!$AB$8))),데이터입력!$AB$8)</f>
        <v>00</v>
      </c>
      <c r="C111" s="584" t="str">
        <f>데이터입력!$AC$9</f>
        <v>일반사업[일반]</v>
      </c>
      <c r="D111" s="185" t="str">
        <f>IFERROR(VLOOKUP($A111,데이터입력!$A:$H,4,FALSE),"")</f>
        <v/>
      </c>
      <c r="E111" s="185" t="str">
        <f>IFERROR(VLOOKUP($A111,데이터입력!$A:$H,2,FALSE),"")</f>
        <v/>
      </c>
      <c r="F111" s="185" t="str">
        <f>IFERROR(VLOOKUP($A111,데이터입력!$A:$H,5,FALSE),"")</f>
        <v/>
      </c>
      <c r="G111" s="185" t="str">
        <f>IFERROR(VLOOKUP($A111,데이터입력!$A:$H,6,FALSE),"")</f>
        <v/>
      </c>
      <c r="H111" s="186" t="str">
        <f>IFERROR(VLOOKUP($A111,데이터입력!$A:$L,8,FALSE)+VLOOKUP($A111,데이터입력!$A:$L,9,FALSE)+VLOOKUP($A111,데이터입력!$A:$L,10,FALSE),"")</f>
        <v/>
      </c>
      <c r="I111" s="181" t="s">
        <v>135</v>
      </c>
      <c r="J111" s="181" t="s">
        <v>135</v>
      </c>
      <c r="K111" s="181" t="s">
        <v>135</v>
      </c>
      <c r="M111" s="182" t="str">
        <f>데이터입력!$AB$8</f>
        <v>00</v>
      </c>
      <c r="N111" s="185" t="str">
        <f>데이터입력!$AC$9</f>
        <v>일반사업[일반]</v>
      </c>
      <c r="O111" s="183" t="str">
        <f>IFERROR(VLOOKUP($A111,#REF!,4,FALSE),"")</f>
        <v/>
      </c>
      <c r="P111" s="183" t="str">
        <f>IFERROR(VLOOKUP($A111,#REF!,5,FALSE),"")</f>
        <v/>
      </c>
      <c r="Q111" s="789" t="str">
        <f>IFERROR(VLOOKUP($A111,#REF!,6,FALSE),"")</f>
        <v/>
      </c>
      <c r="R111" s="183" t="str">
        <f>IFERROR(VLOOKUP($A111,#REF!,7,FALSE),"")</f>
        <v/>
      </c>
      <c r="S111" s="183"/>
      <c r="T111" s="184" t="str">
        <f>IFERROR(VLOOKUP($A111,#REF!,9,FALSE),"")</f>
        <v/>
      </c>
      <c r="U111" s="184" t="str">
        <f>IFERROR(VLOOKUP($A111,#REF!,10,FALSE),"")</f>
        <v/>
      </c>
      <c r="V111" s="184" t="str">
        <f>IFERROR(VLOOKUP($A111,#REF!,11,FALSE),"")</f>
        <v/>
      </c>
      <c r="W111" s="184" t="str">
        <f>IFERROR(VLOOKUP($A111,#REF!,12,FALSE),"")</f>
        <v/>
      </c>
      <c r="X111" s="184" t="str">
        <f>IFERROR(VLOOKUP($A111,#REF!,13,FALSE),"")</f>
        <v/>
      </c>
    </row>
    <row r="112" spans="1:24">
      <c r="A112" s="172">
        <v>110</v>
      </c>
      <c r="B112" s="180" t="str">
        <f>IFERROR(IF(F112="06",데이터입력!$AB$8,IF(F112="07",데이터입력!$AD$8,IF(F112="05",데이터입력!$AF$8,데이터입력!$AB$8))),데이터입력!$AB$8)</f>
        <v>00</v>
      </c>
      <c r="C112" s="584" t="str">
        <f>데이터입력!$AC$9</f>
        <v>일반사업[일반]</v>
      </c>
      <c r="D112" s="185" t="str">
        <f>IFERROR(VLOOKUP($A112,데이터입력!$A:$H,4,FALSE),"")</f>
        <v/>
      </c>
      <c r="E112" s="185" t="str">
        <f>IFERROR(VLOOKUP($A112,데이터입력!$A:$H,2,FALSE),"")</f>
        <v/>
      </c>
      <c r="F112" s="185" t="str">
        <f>IFERROR(VLOOKUP($A112,데이터입력!$A:$H,5,FALSE),"")</f>
        <v/>
      </c>
      <c r="G112" s="185" t="str">
        <f>IFERROR(VLOOKUP($A112,데이터입력!$A:$H,6,FALSE),"")</f>
        <v/>
      </c>
      <c r="H112" s="186" t="str">
        <f>IFERROR(VLOOKUP($A112,데이터입력!$A:$L,8,FALSE)+VLOOKUP($A112,데이터입력!$A:$L,9,FALSE)+VLOOKUP($A112,데이터입력!$A:$L,10,FALSE),"")</f>
        <v/>
      </c>
      <c r="I112" s="181" t="s">
        <v>135</v>
      </c>
      <c r="J112" s="181" t="s">
        <v>135</v>
      </c>
      <c r="K112" s="181" t="s">
        <v>135</v>
      </c>
      <c r="M112" s="182" t="str">
        <f>데이터입력!$AB$8</f>
        <v>00</v>
      </c>
      <c r="N112" s="185" t="str">
        <f>데이터입력!$AC$9</f>
        <v>일반사업[일반]</v>
      </c>
      <c r="O112" s="183" t="str">
        <f>IFERROR(VLOOKUP($A112,#REF!,4,FALSE),"")</f>
        <v/>
      </c>
      <c r="P112" s="183" t="str">
        <f>IFERROR(VLOOKUP($A112,#REF!,5,FALSE),"")</f>
        <v/>
      </c>
      <c r="Q112" s="789" t="str">
        <f>IFERROR(VLOOKUP($A112,#REF!,6,FALSE),"")</f>
        <v/>
      </c>
      <c r="R112" s="183" t="str">
        <f>IFERROR(VLOOKUP($A112,#REF!,7,FALSE),"")</f>
        <v/>
      </c>
      <c r="S112" s="183"/>
      <c r="T112" s="184" t="str">
        <f>IFERROR(VLOOKUP($A112,#REF!,9,FALSE),"")</f>
        <v/>
      </c>
      <c r="U112" s="184" t="str">
        <f>IFERROR(VLOOKUP($A112,#REF!,10,FALSE),"")</f>
        <v/>
      </c>
      <c r="V112" s="184" t="str">
        <f>IFERROR(VLOOKUP($A112,#REF!,11,FALSE),"")</f>
        <v/>
      </c>
      <c r="W112" s="184" t="str">
        <f>IFERROR(VLOOKUP($A112,#REF!,12,FALSE),"")</f>
        <v/>
      </c>
      <c r="X112" s="184" t="str">
        <f>IFERROR(VLOOKUP($A112,#REF!,13,FALSE),"")</f>
        <v/>
      </c>
    </row>
    <row r="113" spans="1:24">
      <c r="A113" s="172">
        <v>111</v>
      </c>
      <c r="B113" s="180" t="str">
        <f>IFERROR(IF(F113="06",데이터입력!$AB$8,IF(F113="07",데이터입력!$AD$8,IF(F113="05",데이터입력!$AF$8,데이터입력!$AB$8))),데이터입력!$AB$8)</f>
        <v>00</v>
      </c>
      <c r="C113" s="584" t="str">
        <f>데이터입력!$AC$9</f>
        <v>일반사업[일반]</v>
      </c>
      <c r="D113" s="185" t="str">
        <f>IFERROR(VLOOKUP($A113,데이터입력!$A:$H,4,FALSE),"")</f>
        <v/>
      </c>
      <c r="E113" s="185" t="str">
        <f>IFERROR(VLOOKUP($A113,데이터입력!$A:$H,2,FALSE),"")</f>
        <v/>
      </c>
      <c r="F113" s="185" t="str">
        <f>IFERROR(VLOOKUP($A113,데이터입력!$A:$H,5,FALSE),"")</f>
        <v/>
      </c>
      <c r="G113" s="185" t="str">
        <f>IFERROR(VLOOKUP($A113,데이터입력!$A:$H,6,FALSE),"")</f>
        <v/>
      </c>
      <c r="H113" s="186" t="str">
        <f>IFERROR(VLOOKUP($A113,데이터입력!$A:$L,8,FALSE)+VLOOKUP($A113,데이터입력!$A:$L,9,FALSE)+VLOOKUP($A113,데이터입력!$A:$L,10,FALSE),"")</f>
        <v/>
      </c>
      <c r="I113" s="181" t="s">
        <v>135</v>
      </c>
      <c r="J113" s="181" t="s">
        <v>135</v>
      </c>
      <c r="K113" s="181" t="s">
        <v>135</v>
      </c>
      <c r="M113" s="182" t="str">
        <f>데이터입력!$AB$8</f>
        <v>00</v>
      </c>
      <c r="N113" s="185" t="str">
        <f>데이터입력!$AC$9</f>
        <v>일반사업[일반]</v>
      </c>
      <c r="O113" s="183" t="str">
        <f>IFERROR(VLOOKUP($A113,#REF!,4,FALSE),"")</f>
        <v/>
      </c>
      <c r="P113" s="183" t="str">
        <f>IFERROR(VLOOKUP($A113,#REF!,5,FALSE),"")</f>
        <v/>
      </c>
      <c r="Q113" s="789" t="str">
        <f>IFERROR(VLOOKUP($A113,#REF!,6,FALSE),"")</f>
        <v/>
      </c>
      <c r="R113" s="183" t="str">
        <f>IFERROR(VLOOKUP($A113,#REF!,7,FALSE),"")</f>
        <v/>
      </c>
      <c r="S113" s="183"/>
      <c r="T113" s="184" t="str">
        <f>IFERROR(VLOOKUP($A113,#REF!,9,FALSE),"")</f>
        <v/>
      </c>
      <c r="U113" s="184" t="str">
        <f>IFERROR(VLOOKUP($A113,#REF!,10,FALSE),"")</f>
        <v/>
      </c>
      <c r="V113" s="184" t="str">
        <f>IFERROR(VLOOKUP($A113,#REF!,11,FALSE),"")</f>
        <v/>
      </c>
      <c r="W113" s="184" t="str">
        <f>IFERROR(VLOOKUP($A113,#REF!,12,FALSE),"")</f>
        <v/>
      </c>
      <c r="X113" s="184" t="str">
        <f>IFERROR(VLOOKUP($A113,#REF!,13,FALSE),"")</f>
        <v/>
      </c>
    </row>
    <row r="114" spans="1:24">
      <c r="A114" s="172">
        <v>112</v>
      </c>
      <c r="B114" s="180" t="str">
        <f>IFERROR(IF(F114="06",데이터입력!$AB$8,IF(F114="07",데이터입력!$AD$8,IF(F114="05",데이터입력!$AF$8,데이터입력!$AB$8))),데이터입력!$AB$8)</f>
        <v>00</v>
      </c>
      <c r="C114" s="584" t="str">
        <f>데이터입력!$AC$9</f>
        <v>일반사업[일반]</v>
      </c>
      <c r="D114" s="185" t="str">
        <f>IFERROR(VLOOKUP($A114,데이터입력!$A:$H,4,FALSE),"")</f>
        <v/>
      </c>
      <c r="E114" s="185" t="str">
        <f>IFERROR(VLOOKUP($A114,데이터입력!$A:$H,2,FALSE),"")</f>
        <v/>
      </c>
      <c r="F114" s="185" t="str">
        <f>IFERROR(VLOOKUP($A114,데이터입력!$A:$H,5,FALSE),"")</f>
        <v/>
      </c>
      <c r="G114" s="185" t="str">
        <f>IFERROR(VLOOKUP($A114,데이터입력!$A:$H,6,FALSE),"")</f>
        <v/>
      </c>
      <c r="H114" s="186" t="str">
        <f>IFERROR(VLOOKUP($A114,데이터입력!$A:$L,8,FALSE)+VLOOKUP($A114,데이터입력!$A:$L,9,FALSE)+VLOOKUP($A114,데이터입력!$A:$L,10,FALSE),"")</f>
        <v/>
      </c>
      <c r="I114" s="181" t="s">
        <v>135</v>
      </c>
      <c r="J114" s="181" t="s">
        <v>135</v>
      </c>
      <c r="K114" s="181" t="s">
        <v>135</v>
      </c>
      <c r="M114" s="182" t="str">
        <f>데이터입력!$AB$8</f>
        <v>00</v>
      </c>
      <c r="N114" s="185" t="str">
        <f>데이터입력!$AC$9</f>
        <v>일반사업[일반]</v>
      </c>
      <c r="O114" s="183" t="str">
        <f>IFERROR(VLOOKUP($A114,#REF!,4,FALSE),"")</f>
        <v/>
      </c>
      <c r="P114" s="183" t="str">
        <f>IFERROR(VLOOKUP($A114,#REF!,5,FALSE),"")</f>
        <v/>
      </c>
      <c r="Q114" s="789" t="str">
        <f>IFERROR(VLOOKUP($A114,#REF!,6,FALSE),"")</f>
        <v/>
      </c>
      <c r="R114" s="183" t="str">
        <f>IFERROR(VLOOKUP($A114,#REF!,7,FALSE),"")</f>
        <v/>
      </c>
      <c r="S114" s="183"/>
      <c r="T114" s="184" t="str">
        <f>IFERROR(VLOOKUP($A114,#REF!,9,FALSE),"")</f>
        <v/>
      </c>
      <c r="U114" s="184" t="str">
        <f>IFERROR(VLOOKUP($A114,#REF!,10,FALSE),"")</f>
        <v/>
      </c>
      <c r="V114" s="184" t="str">
        <f>IFERROR(VLOOKUP($A114,#REF!,11,FALSE),"")</f>
        <v/>
      </c>
      <c r="W114" s="184" t="str">
        <f>IFERROR(VLOOKUP($A114,#REF!,12,FALSE),"")</f>
        <v/>
      </c>
      <c r="X114" s="184" t="str">
        <f>IFERROR(VLOOKUP($A114,#REF!,13,FALSE),"")</f>
        <v/>
      </c>
    </row>
    <row r="115" spans="1:24">
      <c r="A115" s="172">
        <v>113</v>
      </c>
      <c r="B115" s="180" t="str">
        <f>IFERROR(IF(F115="06",데이터입력!$AB$8,IF(F115="07",데이터입력!$AD$8,IF(F115="05",데이터입력!$AF$8,데이터입력!$AB$8))),데이터입력!$AB$8)</f>
        <v>00</v>
      </c>
      <c r="C115" s="584" t="str">
        <f>데이터입력!$AC$9</f>
        <v>일반사업[일반]</v>
      </c>
      <c r="D115" s="185" t="str">
        <f>IFERROR(VLOOKUP($A115,데이터입력!$A:$H,4,FALSE),"")</f>
        <v/>
      </c>
      <c r="E115" s="185" t="str">
        <f>IFERROR(VLOOKUP($A115,데이터입력!$A:$H,2,FALSE),"")</f>
        <v/>
      </c>
      <c r="F115" s="185" t="str">
        <f>IFERROR(VLOOKUP($A115,데이터입력!$A:$H,5,FALSE),"")</f>
        <v/>
      </c>
      <c r="G115" s="185" t="str">
        <f>IFERROR(VLOOKUP($A115,데이터입력!$A:$H,6,FALSE),"")</f>
        <v/>
      </c>
      <c r="H115" s="186" t="str">
        <f>IFERROR(VLOOKUP($A115,데이터입력!$A:$L,8,FALSE)+VLOOKUP($A115,데이터입력!$A:$L,9,FALSE)+VLOOKUP($A115,데이터입력!$A:$L,10,FALSE),"")</f>
        <v/>
      </c>
      <c r="I115" s="181" t="s">
        <v>135</v>
      </c>
      <c r="J115" s="181" t="s">
        <v>135</v>
      </c>
      <c r="K115" s="181" t="s">
        <v>135</v>
      </c>
      <c r="M115" s="182" t="str">
        <f>데이터입력!$AB$8</f>
        <v>00</v>
      </c>
      <c r="N115" s="185" t="str">
        <f>데이터입력!$AC$9</f>
        <v>일반사업[일반]</v>
      </c>
      <c r="O115" s="183" t="str">
        <f>IFERROR(VLOOKUP($A115,#REF!,4,FALSE),"")</f>
        <v/>
      </c>
      <c r="P115" s="183" t="str">
        <f>IFERROR(VLOOKUP($A115,#REF!,5,FALSE),"")</f>
        <v/>
      </c>
      <c r="Q115" s="789" t="str">
        <f>IFERROR(VLOOKUP($A115,#REF!,6,FALSE),"")</f>
        <v/>
      </c>
      <c r="R115" s="183" t="str">
        <f>IFERROR(VLOOKUP($A115,#REF!,7,FALSE),"")</f>
        <v/>
      </c>
      <c r="S115" s="183"/>
      <c r="T115" s="184" t="str">
        <f>IFERROR(VLOOKUP($A115,#REF!,9,FALSE),"")</f>
        <v/>
      </c>
      <c r="U115" s="184" t="str">
        <f>IFERROR(VLOOKUP($A115,#REF!,10,FALSE),"")</f>
        <v/>
      </c>
      <c r="V115" s="184" t="str">
        <f>IFERROR(VLOOKUP($A115,#REF!,11,FALSE),"")</f>
        <v/>
      </c>
      <c r="W115" s="184" t="str">
        <f>IFERROR(VLOOKUP($A115,#REF!,12,FALSE),"")</f>
        <v/>
      </c>
      <c r="X115" s="184" t="str">
        <f>IFERROR(VLOOKUP($A115,#REF!,13,FALSE),"")</f>
        <v/>
      </c>
    </row>
    <row r="116" spans="1:24">
      <c r="A116" s="172">
        <v>114</v>
      </c>
      <c r="B116" s="180" t="str">
        <f>IFERROR(IF(F116="06",데이터입력!$AB$8,IF(F116="07",데이터입력!$AD$8,IF(F116="05",데이터입력!$AF$8,데이터입력!$AB$8))),데이터입력!$AB$8)</f>
        <v>00</v>
      </c>
      <c r="C116" s="584" t="str">
        <f>데이터입력!$AC$9</f>
        <v>일반사업[일반]</v>
      </c>
      <c r="D116" s="185" t="str">
        <f>IFERROR(VLOOKUP($A116,데이터입력!$A:$H,4,FALSE),"")</f>
        <v/>
      </c>
      <c r="E116" s="185" t="str">
        <f>IFERROR(VLOOKUP($A116,데이터입력!$A:$H,2,FALSE),"")</f>
        <v/>
      </c>
      <c r="F116" s="185" t="str">
        <f>IFERROR(VLOOKUP($A116,데이터입력!$A:$H,5,FALSE),"")</f>
        <v/>
      </c>
      <c r="G116" s="185" t="str">
        <f>IFERROR(VLOOKUP($A116,데이터입력!$A:$H,6,FALSE),"")</f>
        <v/>
      </c>
      <c r="H116" s="186" t="str">
        <f>IFERROR(VLOOKUP($A116,데이터입력!$A:$L,8,FALSE)+VLOOKUP($A116,데이터입력!$A:$L,9,FALSE)+VLOOKUP($A116,데이터입력!$A:$L,10,FALSE),"")</f>
        <v/>
      </c>
      <c r="I116" s="181" t="s">
        <v>135</v>
      </c>
      <c r="J116" s="181" t="s">
        <v>135</v>
      </c>
      <c r="K116" s="181" t="s">
        <v>135</v>
      </c>
      <c r="M116" s="182" t="str">
        <f>데이터입력!$AB$8</f>
        <v>00</v>
      </c>
      <c r="N116" s="185" t="str">
        <f>데이터입력!$AC$9</f>
        <v>일반사업[일반]</v>
      </c>
      <c r="O116" s="183" t="str">
        <f>IFERROR(VLOOKUP($A116,#REF!,4,FALSE),"")</f>
        <v/>
      </c>
      <c r="P116" s="183" t="str">
        <f>IFERROR(VLOOKUP($A116,#REF!,5,FALSE),"")</f>
        <v/>
      </c>
      <c r="Q116" s="789" t="str">
        <f>IFERROR(VLOOKUP($A116,#REF!,6,FALSE),"")</f>
        <v/>
      </c>
      <c r="R116" s="183" t="str">
        <f>IFERROR(VLOOKUP($A116,#REF!,7,FALSE),"")</f>
        <v/>
      </c>
      <c r="S116" s="183"/>
      <c r="T116" s="184" t="str">
        <f>IFERROR(VLOOKUP($A116,#REF!,9,FALSE),"")</f>
        <v/>
      </c>
      <c r="U116" s="184" t="str">
        <f>IFERROR(VLOOKUP($A116,#REF!,10,FALSE),"")</f>
        <v/>
      </c>
      <c r="V116" s="184" t="str">
        <f>IFERROR(VLOOKUP($A116,#REF!,11,FALSE),"")</f>
        <v/>
      </c>
      <c r="W116" s="184" t="str">
        <f>IFERROR(VLOOKUP($A116,#REF!,12,FALSE),"")</f>
        <v/>
      </c>
      <c r="X116" s="184" t="str">
        <f>IFERROR(VLOOKUP($A116,#REF!,13,FALSE),"")</f>
        <v/>
      </c>
    </row>
    <row r="117" spans="1:24">
      <c r="A117" s="172">
        <v>115</v>
      </c>
      <c r="B117" s="180" t="str">
        <f>IFERROR(IF(F117="06",데이터입력!$AB$8,IF(F117="07",데이터입력!$AD$8,IF(F117="05",데이터입력!$AF$8,데이터입력!$AB$8))),데이터입력!$AB$8)</f>
        <v>00</v>
      </c>
      <c r="C117" s="584" t="str">
        <f>데이터입력!$AC$9</f>
        <v>일반사업[일반]</v>
      </c>
      <c r="D117" s="185" t="str">
        <f>IFERROR(VLOOKUP($A117,데이터입력!$A:$H,4,FALSE),"")</f>
        <v/>
      </c>
      <c r="E117" s="185" t="str">
        <f>IFERROR(VLOOKUP($A117,데이터입력!$A:$H,2,FALSE),"")</f>
        <v/>
      </c>
      <c r="F117" s="185" t="str">
        <f>IFERROR(VLOOKUP($A117,데이터입력!$A:$H,5,FALSE),"")</f>
        <v/>
      </c>
      <c r="G117" s="185" t="str">
        <f>IFERROR(VLOOKUP($A117,데이터입력!$A:$H,6,FALSE),"")</f>
        <v/>
      </c>
      <c r="H117" s="186" t="str">
        <f>IFERROR(VLOOKUP($A117,데이터입력!$A:$L,8,FALSE)+VLOOKUP($A117,데이터입력!$A:$L,9,FALSE)+VLOOKUP($A117,데이터입력!$A:$L,10,FALSE),"")</f>
        <v/>
      </c>
      <c r="I117" s="181" t="s">
        <v>135</v>
      </c>
      <c r="J117" s="181" t="s">
        <v>135</v>
      </c>
      <c r="K117" s="181" t="s">
        <v>135</v>
      </c>
      <c r="M117" s="182" t="str">
        <f>데이터입력!$AB$8</f>
        <v>00</v>
      </c>
      <c r="N117" s="185" t="str">
        <f>데이터입력!$AC$9</f>
        <v>일반사업[일반]</v>
      </c>
      <c r="O117" s="183" t="str">
        <f>IFERROR(VLOOKUP($A117,#REF!,4,FALSE),"")</f>
        <v/>
      </c>
      <c r="P117" s="183" t="str">
        <f>IFERROR(VLOOKUP($A117,#REF!,5,FALSE),"")</f>
        <v/>
      </c>
      <c r="Q117" s="789" t="str">
        <f>IFERROR(VLOOKUP($A117,#REF!,6,FALSE),"")</f>
        <v/>
      </c>
      <c r="R117" s="183" t="str">
        <f>IFERROR(VLOOKUP($A117,#REF!,7,FALSE),"")</f>
        <v/>
      </c>
      <c r="S117" s="183"/>
      <c r="T117" s="184" t="str">
        <f>IFERROR(VLOOKUP($A117,#REF!,9,FALSE),"")</f>
        <v/>
      </c>
      <c r="U117" s="184" t="str">
        <f>IFERROR(VLOOKUP($A117,#REF!,10,FALSE),"")</f>
        <v/>
      </c>
      <c r="V117" s="184" t="str">
        <f>IFERROR(VLOOKUP($A117,#REF!,11,FALSE),"")</f>
        <v/>
      </c>
      <c r="W117" s="184" t="str">
        <f>IFERROR(VLOOKUP($A117,#REF!,12,FALSE),"")</f>
        <v/>
      </c>
      <c r="X117" s="184" t="str">
        <f>IFERROR(VLOOKUP($A117,#REF!,13,FALSE),"")</f>
        <v/>
      </c>
    </row>
    <row r="118" spans="1:24">
      <c r="A118" s="172">
        <v>116</v>
      </c>
      <c r="B118" s="180" t="str">
        <f>IFERROR(IF(F118="06",데이터입력!$AB$8,IF(F118="07",데이터입력!$AD$8,IF(F118="05",데이터입력!$AF$8,데이터입력!$AB$8))),데이터입력!$AB$8)</f>
        <v>00</v>
      </c>
      <c r="C118" s="584" t="str">
        <f>데이터입력!$AC$9</f>
        <v>일반사업[일반]</v>
      </c>
      <c r="D118" s="185" t="str">
        <f>IFERROR(VLOOKUP($A118,데이터입력!$A:$H,4,FALSE),"")</f>
        <v/>
      </c>
      <c r="E118" s="185" t="str">
        <f>IFERROR(VLOOKUP($A118,데이터입력!$A:$H,2,FALSE),"")</f>
        <v/>
      </c>
      <c r="F118" s="185" t="str">
        <f>IFERROR(VLOOKUP($A118,데이터입력!$A:$H,5,FALSE),"")</f>
        <v/>
      </c>
      <c r="G118" s="185" t="str">
        <f>IFERROR(VLOOKUP($A118,데이터입력!$A:$H,6,FALSE),"")</f>
        <v/>
      </c>
      <c r="H118" s="186" t="str">
        <f>IFERROR(VLOOKUP($A118,데이터입력!$A:$L,8,FALSE)+VLOOKUP($A118,데이터입력!$A:$L,9,FALSE)+VLOOKUP($A118,데이터입력!$A:$L,10,FALSE),"")</f>
        <v/>
      </c>
      <c r="I118" s="181" t="s">
        <v>135</v>
      </c>
      <c r="J118" s="181" t="s">
        <v>135</v>
      </c>
      <c r="K118" s="181" t="s">
        <v>135</v>
      </c>
      <c r="M118" s="182" t="str">
        <f>데이터입력!$AB$8</f>
        <v>00</v>
      </c>
      <c r="N118" s="185" t="str">
        <f>데이터입력!$AC$9</f>
        <v>일반사업[일반]</v>
      </c>
      <c r="O118" s="183" t="str">
        <f>IFERROR(VLOOKUP($A118,#REF!,4,FALSE),"")</f>
        <v/>
      </c>
      <c r="P118" s="183" t="str">
        <f>IFERROR(VLOOKUP($A118,#REF!,5,FALSE),"")</f>
        <v/>
      </c>
      <c r="Q118" s="789" t="str">
        <f>IFERROR(VLOOKUP($A118,#REF!,6,FALSE),"")</f>
        <v/>
      </c>
      <c r="R118" s="183" t="str">
        <f>IFERROR(VLOOKUP($A118,#REF!,7,FALSE),"")</f>
        <v/>
      </c>
      <c r="S118" s="183"/>
      <c r="T118" s="184" t="str">
        <f>IFERROR(VLOOKUP($A118,#REF!,9,FALSE),"")</f>
        <v/>
      </c>
      <c r="U118" s="184" t="str">
        <f>IFERROR(VLOOKUP($A118,#REF!,10,FALSE),"")</f>
        <v/>
      </c>
      <c r="V118" s="184" t="str">
        <f>IFERROR(VLOOKUP($A118,#REF!,11,FALSE),"")</f>
        <v/>
      </c>
      <c r="W118" s="184" t="str">
        <f>IFERROR(VLOOKUP($A118,#REF!,12,FALSE),"")</f>
        <v/>
      </c>
      <c r="X118" s="184" t="str">
        <f>IFERROR(VLOOKUP($A118,#REF!,13,FALSE),"")</f>
        <v/>
      </c>
    </row>
    <row r="119" spans="1:24">
      <c r="A119" s="172">
        <v>117</v>
      </c>
      <c r="B119" s="180" t="str">
        <f>IFERROR(IF(F119="06",데이터입력!$AB$8,IF(F119="07",데이터입력!$AD$8,IF(F119="05",데이터입력!$AF$8,데이터입력!$AB$8))),데이터입력!$AB$8)</f>
        <v>00</v>
      </c>
      <c r="C119" s="584" t="str">
        <f>데이터입력!$AC$9</f>
        <v>일반사업[일반]</v>
      </c>
      <c r="D119" s="185" t="str">
        <f>IFERROR(VLOOKUP($A119,데이터입력!$A:$H,4,FALSE),"")</f>
        <v/>
      </c>
      <c r="E119" s="185" t="str">
        <f>IFERROR(VLOOKUP($A119,데이터입력!$A:$H,2,FALSE),"")</f>
        <v/>
      </c>
      <c r="F119" s="185" t="str">
        <f>IFERROR(VLOOKUP($A119,데이터입력!$A:$H,5,FALSE),"")</f>
        <v/>
      </c>
      <c r="G119" s="185" t="str">
        <f>IFERROR(VLOOKUP($A119,데이터입력!$A:$H,6,FALSE),"")</f>
        <v/>
      </c>
      <c r="H119" s="186" t="str">
        <f>IFERROR(VLOOKUP($A119,데이터입력!$A:$L,8,FALSE)+VLOOKUP($A119,데이터입력!$A:$L,9,FALSE)+VLOOKUP($A119,데이터입력!$A:$L,10,FALSE),"")</f>
        <v/>
      </c>
      <c r="I119" s="181" t="s">
        <v>135</v>
      </c>
      <c r="J119" s="181" t="s">
        <v>135</v>
      </c>
      <c r="K119" s="181" t="s">
        <v>135</v>
      </c>
      <c r="M119" s="182" t="str">
        <f>데이터입력!$AB$8</f>
        <v>00</v>
      </c>
      <c r="N119" s="185" t="str">
        <f>데이터입력!$AC$9</f>
        <v>일반사업[일반]</v>
      </c>
      <c r="O119" s="183" t="str">
        <f>IFERROR(VLOOKUP($A119,#REF!,4,FALSE),"")</f>
        <v/>
      </c>
      <c r="P119" s="183" t="str">
        <f>IFERROR(VLOOKUP($A119,#REF!,5,FALSE),"")</f>
        <v/>
      </c>
      <c r="Q119" s="789" t="str">
        <f>IFERROR(VLOOKUP($A119,#REF!,6,FALSE),"")</f>
        <v/>
      </c>
      <c r="R119" s="183" t="str">
        <f>IFERROR(VLOOKUP($A119,#REF!,7,FALSE),"")</f>
        <v/>
      </c>
      <c r="S119" s="183"/>
      <c r="T119" s="184" t="str">
        <f>IFERROR(VLOOKUP($A119,#REF!,9,FALSE),"")</f>
        <v/>
      </c>
      <c r="U119" s="184" t="str">
        <f>IFERROR(VLOOKUP($A119,#REF!,10,FALSE),"")</f>
        <v/>
      </c>
      <c r="V119" s="184" t="str">
        <f>IFERROR(VLOOKUP($A119,#REF!,11,FALSE),"")</f>
        <v/>
      </c>
      <c r="W119" s="184" t="str">
        <f>IFERROR(VLOOKUP($A119,#REF!,12,FALSE),"")</f>
        <v/>
      </c>
      <c r="X119" s="184" t="str">
        <f>IFERROR(VLOOKUP($A119,#REF!,13,FALSE),"")</f>
        <v/>
      </c>
    </row>
    <row r="120" spans="1:24">
      <c r="A120" s="172">
        <v>118</v>
      </c>
      <c r="B120" s="180" t="str">
        <f>IFERROR(IF(F120="06",데이터입력!$AB$8,IF(F120="07",데이터입력!$AD$8,IF(F120="05",데이터입력!$AF$8,데이터입력!$AB$8))),데이터입력!$AB$8)</f>
        <v>00</v>
      </c>
      <c r="C120" s="584" t="str">
        <f>데이터입력!$AC$9</f>
        <v>일반사업[일반]</v>
      </c>
      <c r="D120" s="185" t="str">
        <f>IFERROR(VLOOKUP($A120,데이터입력!$A:$H,4,FALSE),"")</f>
        <v/>
      </c>
      <c r="E120" s="185" t="str">
        <f>IFERROR(VLOOKUP($A120,데이터입력!$A:$H,2,FALSE),"")</f>
        <v/>
      </c>
      <c r="F120" s="185" t="str">
        <f>IFERROR(VLOOKUP($A120,데이터입력!$A:$H,5,FALSE),"")</f>
        <v/>
      </c>
      <c r="G120" s="185" t="str">
        <f>IFERROR(VLOOKUP($A120,데이터입력!$A:$H,6,FALSE),"")</f>
        <v/>
      </c>
      <c r="H120" s="186" t="str">
        <f>IFERROR(VLOOKUP($A120,데이터입력!$A:$L,8,FALSE)+VLOOKUP($A120,데이터입력!$A:$L,9,FALSE)+VLOOKUP($A120,데이터입력!$A:$L,10,FALSE),"")</f>
        <v/>
      </c>
      <c r="I120" s="181" t="s">
        <v>135</v>
      </c>
      <c r="J120" s="181" t="s">
        <v>135</v>
      </c>
      <c r="K120" s="181" t="s">
        <v>135</v>
      </c>
      <c r="M120" s="182" t="str">
        <f>데이터입력!$AB$8</f>
        <v>00</v>
      </c>
      <c r="N120" s="185" t="str">
        <f>데이터입력!$AC$9</f>
        <v>일반사업[일반]</v>
      </c>
      <c r="O120" s="183" t="str">
        <f>IFERROR(VLOOKUP($A120,#REF!,4,FALSE),"")</f>
        <v/>
      </c>
      <c r="P120" s="183" t="str">
        <f>IFERROR(VLOOKUP($A120,#REF!,5,FALSE),"")</f>
        <v/>
      </c>
      <c r="Q120" s="789" t="str">
        <f>IFERROR(VLOOKUP($A120,#REF!,6,FALSE),"")</f>
        <v/>
      </c>
      <c r="R120" s="183" t="str">
        <f>IFERROR(VLOOKUP($A120,#REF!,7,FALSE),"")</f>
        <v/>
      </c>
      <c r="S120" s="183"/>
      <c r="T120" s="184" t="str">
        <f>IFERROR(VLOOKUP($A120,#REF!,9,FALSE),"")</f>
        <v/>
      </c>
      <c r="U120" s="184" t="str">
        <f>IFERROR(VLOOKUP($A120,#REF!,10,FALSE),"")</f>
        <v/>
      </c>
      <c r="V120" s="184" t="str">
        <f>IFERROR(VLOOKUP($A120,#REF!,11,FALSE),"")</f>
        <v/>
      </c>
      <c r="W120" s="184" t="str">
        <f>IFERROR(VLOOKUP($A120,#REF!,12,FALSE),"")</f>
        <v/>
      </c>
      <c r="X120" s="184" t="str">
        <f>IFERROR(VLOOKUP($A120,#REF!,13,FALSE),"")</f>
        <v/>
      </c>
    </row>
    <row r="121" spans="1:24">
      <c r="A121" s="172">
        <v>119</v>
      </c>
      <c r="B121" s="180" t="str">
        <f>IFERROR(IF(F121="06",데이터입력!$AB$8,IF(F121="07",데이터입력!$AD$8,IF(F121="05",데이터입력!$AF$8,데이터입력!$AB$8))),데이터입력!$AB$8)</f>
        <v>00</v>
      </c>
      <c r="C121" s="584" t="str">
        <f>데이터입력!$AC$9</f>
        <v>일반사업[일반]</v>
      </c>
      <c r="D121" s="185" t="str">
        <f>IFERROR(VLOOKUP($A121,데이터입력!$A:$H,4,FALSE),"")</f>
        <v/>
      </c>
      <c r="E121" s="185" t="str">
        <f>IFERROR(VLOOKUP($A121,데이터입력!$A:$H,2,FALSE),"")</f>
        <v/>
      </c>
      <c r="F121" s="185" t="str">
        <f>IFERROR(VLOOKUP($A121,데이터입력!$A:$H,5,FALSE),"")</f>
        <v/>
      </c>
      <c r="G121" s="185" t="str">
        <f>IFERROR(VLOOKUP($A121,데이터입력!$A:$H,6,FALSE),"")</f>
        <v/>
      </c>
      <c r="H121" s="186" t="str">
        <f>IFERROR(VLOOKUP($A121,데이터입력!$A:$L,8,FALSE)+VLOOKUP($A121,데이터입력!$A:$L,9,FALSE)+VLOOKUP($A121,데이터입력!$A:$L,10,FALSE),"")</f>
        <v/>
      </c>
      <c r="I121" s="181" t="s">
        <v>135</v>
      </c>
      <c r="J121" s="181" t="s">
        <v>135</v>
      </c>
      <c r="K121" s="181" t="s">
        <v>135</v>
      </c>
      <c r="M121" s="182" t="str">
        <f>데이터입력!$AB$8</f>
        <v>00</v>
      </c>
      <c r="N121" s="185" t="str">
        <f>데이터입력!$AC$9</f>
        <v>일반사업[일반]</v>
      </c>
      <c r="O121" s="183" t="str">
        <f>IFERROR(VLOOKUP($A121,#REF!,4,FALSE),"")</f>
        <v/>
      </c>
      <c r="P121" s="183" t="str">
        <f>IFERROR(VLOOKUP($A121,#REF!,5,FALSE),"")</f>
        <v/>
      </c>
      <c r="Q121" s="789" t="str">
        <f>IFERROR(VLOOKUP($A121,#REF!,6,FALSE),"")</f>
        <v/>
      </c>
      <c r="R121" s="183" t="str">
        <f>IFERROR(VLOOKUP($A121,#REF!,7,FALSE),"")</f>
        <v/>
      </c>
      <c r="S121" s="183"/>
      <c r="T121" s="184" t="str">
        <f>IFERROR(VLOOKUP($A121,#REF!,9,FALSE),"")</f>
        <v/>
      </c>
      <c r="U121" s="184" t="str">
        <f>IFERROR(VLOOKUP($A121,#REF!,10,FALSE),"")</f>
        <v/>
      </c>
      <c r="V121" s="184" t="str">
        <f>IFERROR(VLOOKUP($A121,#REF!,11,FALSE),"")</f>
        <v/>
      </c>
      <c r="W121" s="184" t="str">
        <f>IFERROR(VLOOKUP($A121,#REF!,12,FALSE),"")</f>
        <v/>
      </c>
      <c r="X121" s="184" t="str">
        <f>IFERROR(VLOOKUP($A121,#REF!,13,FALSE),"")</f>
        <v/>
      </c>
    </row>
    <row r="122" spans="1:24">
      <c r="A122" s="172">
        <v>120</v>
      </c>
      <c r="B122" s="180" t="str">
        <f>IFERROR(IF(F122="06",데이터입력!$AB$8,IF(F122="07",데이터입력!$AD$8,IF(F122="05",데이터입력!$AF$8,데이터입력!$AB$8))),데이터입력!$AB$8)</f>
        <v>00</v>
      </c>
      <c r="C122" s="584" t="str">
        <f>데이터입력!$AC$9</f>
        <v>일반사업[일반]</v>
      </c>
      <c r="D122" s="185" t="str">
        <f>IFERROR(VLOOKUP($A122,데이터입력!$A:$H,4,FALSE),"")</f>
        <v/>
      </c>
      <c r="E122" s="185" t="str">
        <f>IFERROR(VLOOKUP($A122,데이터입력!$A:$H,2,FALSE),"")</f>
        <v/>
      </c>
      <c r="F122" s="185" t="str">
        <f>IFERROR(VLOOKUP($A122,데이터입력!$A:$H,5,FALSE),"")</f>
        <v/>
      </c>
      <c r="G122" s="185" t="str">
        <f>IFERROR(VLOOKUP($A122,데이터입력!$A:$H,6,FALSE),"")</f>
        <v/>
      </c>
      <c r="H122" s="186" t="str">
        <f>IFERROR(VLOOKUP($A122,데이터입력!$A:$L,8,FALSE)+VLOOKUP($A122,데이터입력!$A:$L,9,FALSE)+VLOOKUP($A122,데이터입력!$A:$L,10,FALSE),"")</f>
        <v/>
      </c>
      <c r="I122" s="181" t="s">
        <v>135</v>
      </c>
      <c r="J122" s="181" t="s">
        <v>135</v>
      </c>
      <c r="K122" s="181" t="s">
        <v>135</v>
      </c>
      <c r="M122" s="182" t="str">
        <f>데이터입력!$AB$8</f>
        <v>00</v>
      </c>
      <c r="N122" s="185" t="str">
        <f>데이터입력!$AC$9</f>
        <v>일반사업[일반]</v>
      </c>
      <c r="O122" s="183" t="str">
        <f>IFERROR(VLOOKUP($A122,#REF!,4,FALSE),"")</f>
        <v/>
      </c>
      <c r="P122" s="183" t="str">
        <f>IFERROR(VLOOKUP($A122,#REF!,5,FALSE),"")</f>
        <v/>
      </c>
      <c r="Q122" s="789" t="str">
        <f>IFERROR(VLOOKUP($A122,#REF!,6,FALSE),"")</f>
        <v/>
      </c>
      <c r="R122" s="183" t="str">
        <f>IFERROR(VLOOKUP($A122,#REF!,7,FALSE),"")</f>
        <v/>
      </c>
      <c r="S122" s="183"/>
      <c r="T122" s="184" t="str">
        <f>IFERROR(VLOOKUP($A122,#REF!,9,FALSE),"")</f>
        <v/>
      </c>
      <c r="U122" s="184" t="str">
        <f>IFERROR(VLOOKUP($A122,#REF!,10,FALSE),"")</f>
        <v/>
      </c>
      <c r="V122" s="184" t="str">
        <f>IFERROR(VLOOKUP($A122,#REF!,11,FALSE),"")</f>
        <v/>
      </c>
      <c r="W122" s="184" t="str">
        <f>IFERROR(VLOOKUP($A122,#REF!,12,FALSE),"")</f>
        <v/>
      </c>
      <c r="X122" s="184" t="str">
        <f>IFERROR(VLOOKUP($A122,#REF!,13,FALSE),"")</f>
        <v/>
      </c>
    </row>
    <row r="123" spans="1:24">
      <c r="A123" s="172">
        <v>121</v>
      </c>
      <c r="B123" s="180" t="str">
        <f>IFERROR(IF(F123="06",데이터입력!$AB$8,IF(F123="07",데이터입력!$AD$8,IF(F123="05",데이터입력!$AF$8,데이터입력!$AB$8))),데이터입력!$AB$8)</f>
        <v>00</v>
      </c>
      <c r="C123" s="584" t="str">
        <f>데이터입력!$AC$9</f>
        <v>일반사업[일반]</v>
      </c>
      <c r="D123" s="185" t="str">
        <f>IFERROR(VLOOKUP($A123,데이터입력!$A:$H,4,FALSE),"")</f>
        <v/>
      </c>
      <c r="E123" s="185" t="str">
        <f>IFERROR(VLOOKUP($A123,데이터입력!$A:$H,2,FALSE),"")</f>
        <v/>
      </c>
      <c r="F123" s="185" t="str">
        <f>IFERROR(VLOOKUP($A123,데이터입력!$A:$H,5,FALSE),"")</f>
        <v/>
      </c>
      <c r="G123" s="185" t="str">
        <f>IFERROR(VLOOKUP($A123,데이터입력!$A:$H,6,FALSE),"")</f>
        <v/>
      </c>
      <c r="H123" s="186" t="str">
        <f>IFERROR(VLOOKUP($A123,데이터입력!$A:$L,8,FALSE)+VLOOKUP($A123,데이터입력!$A:$L,9,FALSE)+VLOOKUP($A123,데이터입력!$A:$L,10,FALSE),"")</f>
        <v/>
      </c>
      <c r="I123" s="181" t="s">
        <v>135</v>
      </c>
      <c r="J123" s="181" t="s">
        <v>135</v>
      </c>
      <c r="K123" s="181" t="s">
        <v>135</v>
      </c>
      <c r="M123" s="182" t="str">
        <f>데이터입력!$AB$8</f>
        <v>00</v>
      </c>
      <c r="N123" s="185" t="str">
        <f>데이터입력!$AC$9</f>
        <v>일반사업[일반]</v>
      </c>
      <c r="O123" s="183" t="str">
        <f>IFERROR(VLOOKUP($A123,#REF!,4,FALSE),"")</f>
        <v/>
      </c>
      <c r="P123" s="183" t="str">
        <f>IFERROR(VLOOKUP($A123,#REF!,5,FALSE),"")</f>
        <v/>
      </c>
      <c r="Q123" s="789" t="str">
        <f>IFERROR(VLOOKUP($A123,#REF!,6,FALSE),"")</f>
        <v/>
      </c>
      <c r="R123" s="183" t="str">
        <f>IFERROR(VLOOKUP($A123,#REF!,7,FALSE),"")</f>
        <v/>
      </c>
      <c r="S123" s="183"/>
      <c r="T123" s="184" t="str">
        <f>IFERROR(VLOOKUP($A123,#REF!,9,FALSE),"")</f>
        <v/>
      </c>
      <c r="U123" s="184" t="str">
        <f>IFERROR(VLOOKUP($A123,#REF!,10,FALSE),"")</f>
        <v/>
      </c>
      <c r="V123" s="184" t="str">
        <f>IFERROR(VLOOKUP($A123,#REF!,11,FALSE),"")</f>
        <v/>
      </c>
      <c r="W123" s="184" t="str">
        <f>IFERROR(VLOOKUP($A123,#REF!,12,FALSE),"")</f>
        <v/>
      </c>
      <c r="X123" s="184" t="str">
        <f>IFERROR(VLOOKUP($A123,#REF!,13,FALSE),"")</f>
        <v/>
      </c>
    </row>
    <row r="124" spans="1:24">
      <c r="A124" s="172">
        <v>122</v>
      </c>
      <c r="B124" s="180" t="str">
        <f>IFERROR(IF(F124="06",데이터입력!$AB$8,IF(F124="07",데이터입력!$AD$8,IF(F124="05",데이터입력!$AF$8,데이터입력!$AB$8))),데이터입력!$AB$8)</f>
        <v>00</v>
      </c>
      <c r="C124" s="584" t="str">
        <f>데이터입력!$AC$9</f>
        <v>일반사업[일반]</v>
      </c>
      <c r="D124" s="185" t="str">
        <f>IFERROR(VLOOKUP($A124,데이터입력!$A:$H,4,FALSE),"")</f>
        <v/>
      </c>
      <c r="E124" s="185" t="str">
        <f>IFERROR(VLOOKUP($A124,데이터입력!$A:$H,2,FALSE),"")</f>
        <v/>
      </c>
      <c r="F124" s="185" t="str">
        <f>IFERROR(VLOOKUP($A124,데이터입력!$A:$H,5,FALSE),"")</f>
        <v/>
      </c>
      <c r="G124" s="185" t="str">
        <f>IFERROR(VLOOKUP($A124,데이터입력!$A:$H,6,FALSE),"")</f>
        <v/>
      </c>
      <c r="H124" s="186" t="str">
        <f>IFERROR(VLOOKUP($A124,데이터입력!$A:$L,8,FALSE)+VLOOKUP($A124,데이터입력!$A:$L,9,FALSE)+VLOOKUP($A124,데이터입력!$A:$L,10,FALSE),"")</f>
        <v/>
      </c>
      <c r="I124" s="181" t="s">
        <v>135</v>
      </c>
      <c r="J124" s="181" t="s">
        <v>135</v>
      </c>
      <c r="K124" s="181" t="s">
        <v>135</v>
      </c>
      <c r="M124" s="182" t="str">
        <f>데이터입력!$AB$8</f>
        <v>00</v>
      </c>
      <c r="N124" s="185" t="str">
        <f>데이터입력!$AC$9</f>
        <v>일반사업[일반]</v>
      </c>
      <c r="O124" s="183" t="str">
        <f>IFERROR(VLOOKUP($A124,#REF!,4,FALSE),"")</f>
        <v/>
      </c>
      <c r="P124" s="183" t="str">
        <f>IFERROR(VLOOKUP($A124,#REF!,5,FALSE),"")</f>
        <v/>
      </c>
      <c r="Q124" s="789" t="str">
        <f>IFERROR(VLOOKUP($A124,#REF!,6,FALSE),"")</f>
        <v/>
      </c>
      <c r="R124" s="183" t="str">
        <f>IFERROR(VLOOKUP($A124,#REF!,7,FALSE),"")</f>
        <v/>
      </c>
      <c r="S124" s="183"/>
      <c r="T124" s="184" t="str">
        <f>IFERROR(VLOOKUP($A124,#REF!,9,FALSE),"")</f>
        <v/>
      </c>
      <c r="U124" s="184" t="str">
        <f>IFERROR(VLOOKUP($A124,#REF!,10,FALSE),"")</f>
        <v/>
      </c>
      <c r="V124" s="184" t="str">
        <f>IFERROR(VLOOKUP($A124,#REF!,11,FALSE),"")</f>
        <v/>
      </c>
      <c r="W124" s="184" t="str">
        <f>IFERROR(VLOOKUP($A124,#REF!,12,FALSE),"")</f>
        <v/>
      </c>
      <c r="X124" s="184" t="str">
        <f>IFERROR(VLOOKUP($A124,#REF!,13,FALSE),"")</f>
        <v/>
      </c>
    </row>
    <row r="125" spans="1:24">
      <c r="A125" s="172">
        <v>123</v>
      </c>
      <c r="B125" s="180" t="str">
        <f>IFERROR(IF(F125="06",데이터입력!$AB$8,IF(F125="07",데이터입력!$AD$8,IF(F125="05",데이터입력!$AF$8,데이터입력!$AB$8))),데이터입력!$AB$8)</f>
        <v>00</v>
      </c>
      <c r="C125" s="584" t="str">
        <f>데이터입력!$AC$9</f>
        <v>일반사업[일반]</v>
      </c>
      <c r="D125" s="185" t="str">
        <f>IFERROR(VLOOKUP($A125,데이터입력!$A:$H,4,FALSE),"")</f>
        <v/>
      </c>
      <c r="E125" s="185" t="str">
        <f>IFERROR(VLOOKUP($A125,데이터입력!$A:$H,2,FALSE),"")</f>
        <v/>
      </c>
      <c r="F125" s="185" t="str">
        <f>IFERROR(VLOOKUP($A125,데이터입력!$A:$H,5,FALSE),"")</f>
        <v/>
      </c>
      <c r="G125" s="185" t="str">
        <f>IFERROR(VLOOKUP($A125,데이터입력!$A:$H,6,FALSE),"")</f>
        <v/>
      </c>
      <c r="H125" s="186" t="str">
        <f>IFERROR(VLOOKUP($A125,데이터입력!$A:$L,8,FALSE)+VLOOKUP($A125,데이터입력!$A:$L,9,FALSE)+VLOOKUP($A125,데이터입력!$A:$L,10,FALSE),"")</f>
        <v/>
      </c>
      <c r="I125" s="181" t="s">
        <v>135</v>
      </c>
      <c r="J125" s="181" t="s">
        <v>135</v>
      </c>
      <c r="K125" s="181" t="s">
        <v>135</v>
      </c>
      <c r="M125" s="182" t="str">
        <f>데이터입력!$AB$8</f>
        <v>00</v>
      </c>
      <c r="N125" s="185" t="str">
        <f>데이터입력!$AC$9</f>
        <v>일반사업[일반]</v>
      </c>
      <c r="O125" s="183" t="str">
        <f>IFERROR(VLOOKUP($A125,#REF!,4,FALSE),"")</f>
        <v/>
      </c>
      <c r="P125" s="183" t="str">
        <f>IFERROR(VLOOKUP($A125,#REF!,5,FALSE),"")</f>
        <v/>
      </c>
      <c r="Q125" s="789" t="str">
        <f>IFERROR(VLOOKUP($A125,#REF!,6,FALSE),"")</f>
        <v/>
      </c>
      <c r="R125" s="183" t="str">
        <f>IFERROR(VLOOKUP($A125,#REF!,7,FALSE),"")</f>
        <v/>
      </c>
      <c r="S125" s="183"/>
      <c r="T125" s="184" t="str">
        <f>IFERROR(VLOOKUP($A125,#REF!,9,FALSE),"")</f>
        <v/>
      </c>
      <c r="U125" s="184" t="str">
        <f>IFERROR(VLOOKUP($A125,#REF!,10,FALSE),"")</f>
        <v/>
      </c>
      <c r="V125" s="184" t="str">
        <f>IFERROR(VLOOKUP($A125,#REF!,11,FALSE),"")</f>
        <v/>
      </c>
      <c r="W125" s="184" t="str">
        <f>IFERROR(VLOOKUP($A125,#REF!,12,FALSE),"")</f>
        <v/>
      </c>
      <c r="X125" s="184" t="str">
        <f>IFERROR(VLOOKUP($A125,#REF!,13,FALSE),"")</f>
        <v/>
      </c>
    </row>
    <row r="126" spans="1:24">
      <c r="A126" s="172">
        <v>124</v>
      </c>
      <c r="B126" s="180" t="str">
        <f>IFERROR(IF(F126="06",데이터입력!$AB$8,IF(F126="07",데이터입력!$AD$8,IF(F126="05",데이터입력!$AF$8,데이터입력!$AB$8))),데이터입력!$AB$8)</f>
        <v>00</v>
      </c>
      <c r="C126" s="584" t="str">
        <f>데이터입력!$AC$9</f>
        <v>일반사업[일반]</v>
      </c>
      <c r="D126" s="185" t="str">
        <f>IFERROR(VLOOKUP($A126,데이터입력!$A:$H,4,FALSE),"")</f>
        <v/>
      </c>
      <c r="E126" s="185" t="str">
        <f>IFERROR(VLOOKUP($A126,데이터입력!$A:$H,2,FALSE),"")</f>
        <v/>
      </c>
      <c r="F126" s="185" t="str">
        <f>IFERROR(VLOOKUP($A126,데이터입력!$A:$H,5,FALSE),"")</f>
        <v/>
      </c>
      <c r="G126" s="185" t="str">
        <f>IFERROR(VLOOKUP($A126,데이터입력!$A:$H,6,FALSE),"")</f>
        <v/>
      </c>
      <c r="H126" s="186" t="str">
        <f>IFERROR(VLOOKUP($A126,데이터입력!$A:$L,8,FALSE)+VLOOKUP($A126,데이터입력!$A:$L,9,FALSE)+VLOOKUP($A126,데이터입력!$A:$L,10,FALSE),"")</f>
        <v/>
      </c>
      <c r="I126" s="181" t="s">
        <v>135</v>
      </c>
      <c r="J126" s="181" t="s">
        <v>135</v>
      </c>
      <c r="K126" s="181" t="s">
        <v>135</v>
      </c>
      <c r="M126" s="182" t="str">
        <f>데이터입력!$AB$8</f>
        <v>00</v>
      </c>
      <c r="N126" s="185" t="str">
        <f>데이터입력!$AC$9</f>
        <v>일반사업[일반]</v>
      </c>
      <c r="O126" s="183" t="str">
        <f>IFERROR(VLOOKUP($A126,#REF!,4,FALSE),"")</f>
        <v/>
      </c>
      <c r="P126" s="183" t="str">
        <f>IFERROR(VLOOKUP($A126,#REF!,5,FALSE),"")</f>
        <v/>
      </c>
      <c r="Q126" s="789" t="str">
        <f>IFERROR(VLOOKUP($A126,#REF!,6,FALSE),"")</f>
        <v/>
      </c>
      <c r="R126" s="183" t="str">
        <f>IFERROR(VLOOKUP($A126,#REF!,7,FALSE),"")</f>
        <v/>
      </c>
      <c r="S126" s="183"/>
      <c r="T126" s="184" t="str">
        <f>IFERROR(VLOOKUP($A126,#REF!,9,FALSE),"")</f>
        <v/>
      </c>
      <c r="U126" s="184" t="str">
        <f>IFERROR(VLOOKUP($A126,#REF!,10,FALSE),"")</f>
        <v/>
      </c>
      <c r="V126" s="184" t="str">
        <f>IFERROR(VLOOKUP($A126,#REF!,11,FALSE),"")</f>
        <v/>
      </c>
      <c r="W126" s="184" t="str">
        <f>IFERROR(VLOOKUP($A126,#REF!,12,FALSE),"")</f>
        <v/>
      </c>
      <c r="X126" s="184" t="str">
        <f>IFERROR(VLOOKUP($A126,#REF!,13,FALSE),"")</f>
        <v/>
      </c>
    </row>
    <row r="127" spans="1:24">
      <c r="A127" s="172">
        <v>125</v>
      </c>
      <c r="B127" s="180" t="str">
        <f>IFERROR(IF(F127="06",데이터입력!$AB$8,IF(F127="07",데이터입력!$AD$8,IF(F127="05",데이터입력!$AF$8,데이터입력!$AB$8))),데이터입력!$AB$8)</f>
        <v>00</v>
      </c>
      <c r="C127" s="584" t="str">
        <f>데이터입력!$AC$9</f>
        <v>일반사업[일반]</v>
      </c>
      <c r="D127" s="185" t="str">
        <f>IFERROR(VLOOKUP($A127,데이터입력!$A:$H,4,FALSE),"")</f>
        <v/>
      </c>
      <c r="E127" s="185" t="str">
        <f>IFERROR(VLOOKUP($A127,데이터입력!$A:$H,2,FALSE),"")</f>
        <v/>
      </c>
      <c r="F127" s="185" t="str">
        <f>IFERROR(VLOOKUP($A127,데이터입력!$A:$H,5,FALSE),"")</f>
        <v/>
      </c>
      <c r="G127" s="185" t="str">
        <f>IFERROR(VLOOKUP($A127,데이터입력!$A:$H,6,FALSE),"")</f>
        <v/>
      </c>
      <c r="H127" s="186" t="str">
        <f>IFERROR(VLOOKUP($A127,데이터입력!$A:$L,8,FALSE)+VLOOKUP($A127,데이터입력!$A:$L,9,FALSE)+VLOOKUP($A127,데이터입력!$A:$L,10,FALSE),"")</f>
        <v/>
      </c>
      <c r="I127" s="181" t="s">
        <v>135</v>
      </c>
      <c r="J127" s="181" t="s">
        <v>135</v>
      </c>
      <c r="K127" s="181" t="s">
        <v>135</v>
      </c>
      <c r="M127" s="182" t="str">
        <f>데이터입력!$AB$8</f>
        <v>00</v>
      </c>
      <c r="N127" s="185" t="str">
        <f>데이터입력!$AC$9</f>
        <v>일반사업[일반]</v>
      </c>
      <c r="O127" s="183" t="str">
        <f>IFERROR(VLOOKUP($A127,#REF!,4,FALSE),"")</f>
        <v/>
      </c>
      <c r="P127" s="183" t="str">
        <f>IFERROR(VLOOKUP($A127,#REF!,5,FALSE),"")</f>
        <v/>
      </c>
      <c r="Q127" s="789" t="str">
        <f>IFERROR(VLOOKUP($A127,#REF!,6,FALSE),"")</f>
        <v/>
      </c>
      <c r="R127" s="183" t="str">
        <f>IFERROR(VLOOKUP($A127,#REF!,7,FALSE),"")</f>
        <v/>
      </c>
      <c r="S127" s="183"/>
      <c r="T127" s="184" t="str">
        <f>IFERROR(VLOOKUP($A127,#REF!,9,FALSE),"")</f>
        <v/>
      </c>
      <c r="U127" s="184" t="str">
        <f>IFERROR(VLOOKUP($A127,#REF!,10,FALSE),"")</f>
        <v/>
      </c>
      <c r="V127" s="184" t="str">
        <f>IFERROR(VLOOKUP($A127,#REF!,11,FALSE),"")</f>
        <v/>
      </c>
      <c r="W127" s="184" t="str">
        <f>IFERROR(VLOOKUP($A127,#REF!,12,FALSE),"")</f>
        <v/>
      </c>
      <c r="X127" s="184" t="str">
        <f>IFERROR(VLOOKUP($A127,#REF!,13,FALSE),"")</f>
        <v/>
      </c>
    </row>
    <row r="128" spans="1:24">
      <c r="A128" s="172">
        <v>126</v>
      </c>
      <c r="B128" s="180" t="str">
        <f>IFERROR(IF(F128="06",데이터입력!$AB$8,IF(F128="07",데이터입력!$AD$8,IF(F128="05",데이터입력!$AF$8,데이터입력!$AB$8))),데이터입력!$AB$8)</f>
        <v>00</v>
      </c>
      <c r="C128" s="584" t="str">
        <f>데이터입력!$AC$9</f>
        <v>일반사업[일반]</v>
      </c>
      <c r="D128" s="185" t="str">
        <f>IFERROR(VLOOKUP($A128,데이터입력!$A:$H,4,FALSE),"")</f>
        <v/>
      </c>
      <c r="E128" s="185" t="str">
        <f>IFERROR(VLOOKUP($A128,데이터입력!$A:$H,2,FALSE),"")</f>
        <v/>
      </c>
      <c r="F128" s="185" t="str">
        <f>IFERROR(VLOOKUP($A128,데이터입력!$A:$H,5,FALSE),"")</f>
        <v/>
      </c>
      <c r="G128" s="185" t="str">
        <f>IFERROR(VLOOKUP($A128,데이터입력!$A:$H,6,FALSE),"")</f>
        <v/>
      </c>
      <c r="H128" s="186" t="str">
        <f>IFERROR(VLOOKUP($A128,데이터입력!$A:$L,8,FALSE)+VLOOKUP($A128,데이터입력!$A:$L,9,FALSE)+VLOOKUP($A128,데이터입력!$A:$L,10,FALSE),"")</f>
        <v/>
      </c>
      <c r="I128" s="181" t="s">
        <v>135</v>
      </c>
      <c r="J128" s="181" t="s">
        <v>135</v>
      </c>
      <c r="K128" s="181" t="s">
        <v>135</v>
      </c>
      <c r="M128" s="182" t="str">
        <f>데이터입력!$AB$8</f>
        <v>00</v>
      </c>
      <c r="N128" s="185" t="str">
        <f>데이터입력!$AC$9</f>
        <v>일반사업[일반]</v>
      </c>
      <c r="O128" s="183" t="str">
        <f>IFERROR(VLOOKUP($A128,#REF!,4,FALSE),"")</f>
        <v/>
      </c>
      <c r="P128" s="183" t="str">
        <f>IFERROR(VLOOKUP($A128,#REF!,5,FALSE),"")</f>
        <v/>
      </c>
      <c r="Q128" s="789" t="str">
        <f>IFERROR(VLOOKUP($A128,#REF!,6,FALSE),"")</f>
        <v/>
      </c>
      <c r="R128" s="183" t="str">
        <f>IFERROR(VLOOKUP($A128,#REF!,7,FALSE),"")</f>
        <v/>
      </c>
      <c r="S128" s="183"/>
      <c r="T128" s="184" t="str">
        <f>IFERROR(VLOOKUP($A128,#REF!,9,FALSE),"")</f>
        <v/>
      </c>
      <c r="U128" s="184" t="str">
        <f>IFERROR(VLOOKUP($A128,#REF!,10,FALSE),"")</f>
        <v/>
      </c>
      <c r="V128" s="184" t="str">
        <f>IFERROR(VLOOKUP($A128,#REF!,11,FALSE),"")</f>
        <v/>
      </c>
      <c r="W128" s="184" t="str">
        <f>IFERROR(VLOOKUP($A128,#REF!,12,FALSE),"")</f>
        <v/>
      </c>
      <c r="X128" s="184" t="str">
        <f>IFERROR(VLOOKUP($A128,#REF!,13,FALSE),"")</f>
        <v/>
      </c>
    </row>
    <row r="129" spans="1:24">
      <c r="A129" s="172">
        <v>127</v>
      </c>
      <c r="B129" s="180" t="str">
        <f>IFERROR(IF(F129="06",데이터입력!$AB$8,IF(F129="07",데이터입력!$AD$8,IF(F129="05",데이터입력!$AF$8,데이터입력!$AB$8))),데이터입력!$AB$8)</f>
        <v>00</v>
      </c>
      <c r="C129" s="584" t="str">
        <f>데이터입력!$AC$9</f>
        <v>일반사업[일반]</v>
      </c>
      <c r="D129" s="185" t="str">
        <f>IFERROR(VLOOKUP($A129,데이터입력!$A:$H,4,FALSE),"")</f>
        <v/>
      </c>
      <c r="E129" s="185" t="str">
        <f>IFERROR(VLOOKUP($A129,데이터입력!$A:$H,2,FALSE),"")</f>
        <v/>
      </c>
      <c r="F129" s="185" t="str">
        <f>IFERROR(VLOOKUP($A129,데이터입력!$A:$H,5,FALSE),"")</f>
        <v/>
      </c>
      <c r="G129" s="185" t="str">
        <f>IFERROR(VLOOKUP($A129,데이터입력!$A:$H,6,FALSE),"")</f>
        <v/>
      </c>
      <c r="H129" s="186" t="str">
        <f>IFERROR(VLOOKUP($A129,데이터입력!$A:$L,8,FALSE)+VLOOKUP($A129,데이터입력!$A:$L,9,FALSE)+VLOOKUP($A129,데이터입력!$A:$L,10,FALSE),"")</f>
        <v/>
      </c>
      <c r="I129" s="181" t="s">
        <v>135</v>
      </c>
      <c r="J129" s="181" t="s">
        <v>135</v>
      </c>
      <c r="K129" s="181" t="s">
        <v>135</v>
      </c>
      <c r="M129" s="182" t="str">
        <f>데이터입력!$AB$8</f>
        <v>00</v>
      </c>
      <c r="N129" s="185" t="str">
        <f>데이터입력!$AC$9</f>
        <v>일반사업[일반]</v>
      </c>
      <c r="O129" s="183" t="str">
        <f>IFERROR(VLOOKUP($A129,#REF!,4,FALSE),"")</f>
        <v/>
      </c>
      <c r="P129" s="183" t="str">
        <f>IFERROR(VLOOKUP($A129,#REF!,5,FALSE),"")</f>
        <v/>
      </c>
      <c r="Q129" s="789" t="str">
        <f>IFERROR(VLOOKUP($A129,#REF!,6,FALSE),"")</f>
        <v/>
      </c>
      <c r="R129" s="183" t="str">
        <f>IFERROR(VLOOKUP($A129,#REF!,7,FALSE),"")</f>
        <v/>
      </c>
      <c r="S129" s="183"/>
      <c r="T129" s="184" t="str">
        <f>IFERROR(VLOOKUP($A129,#REF!,9,FALSE),"")</f>
        <v/>
      </c>
      <c r="U129" s="184" t="str">
        <f>IFERROR(VLOOKUP($A129,#REF!,10,FALSE),"")</f>
        <v/>
      </c>
      <c r="V129" s="184" t="str">
        <f>IFERROR(VLOOKUP($A129,#REF!,11,FALSE),"")</f>
        <v/>
      </c>
      <c r="W129" s="184" t="str">
        <f>IFERROR(VLOOKUP($A129,#REF!,12,FALSE),"")</f>
        <v/>
      </c>
      <c r="X129" s="184" t="str">
        <f>IFERROR(VLOOKUP($A129,#REF!,13,FALSE),"")</f>
        <v/>
      </c>
    </row>
    <row r="130" spans="1:24">
      <c r="A130" s="172">
        <v>128</v>
      </c>
      <c r="B130" s="180" t="str">
        <f>IFERROR(IF(F130="06",데이터입력!$AB$8,IF(F130="07",데이터입력!$AD$8,IF(F130="05",데이터입력!$AF$8,데이터입력!$AB$8))),데이터입력!$AB$8)</f>
        <v>00</v>
      </c>
      <c r="C130" s="584" t="str">
        <f>데이터입력!$AC$9</f>
        <v>일반사업[일반]</v>
      </c>
      <c r="D130" s="185" t="str">
        <f>IFERROR(VLOOKUP($A130,데이터입력!$A:$H,4,FALSE),"")</f>
        <v/>
      </c>
      <c r="E130" s="185" t="str">
        <f>IFERROR(VLOOKUP($A130,데이터입력!$A:$H,2,FALSE),"")</f>
        <v/>
      </c>
      <c r="F130" s="185" t="str">
        <f>IFERROR(VLOOKUP($A130,데이터입력!$A:$H,5,FALSE),"")</f>
        <v/>
      </c>
      <c r="G130" s="185" t="str">
        <f>IFERROR(VLOOKUP($A130,데이터입력!$A:$H,6,FALSE),"")</f>
        <v/>
      </c>
      <c r="H130" s="186" t="str">
        <f>IFERROR(VLOOKUP($A130,데이터입력!$A:$L,8,FALSE)+VLOOKUP($A130,데이터입력!$A:$L,9,FALSE)+VLOOKUP($A130,데이터입력!$A:$L,10,FALSE),"")</f>
        <v/>
      </c>
      <c r="I130" s="181" t="s">
        <v>135</v>
      </c>
      <c r="J130" s="181" t="s">
        <v>135</v>
      </c>
      <c r="K130" s="181" t="s">
        <v>135</v>
      </c>
      <c r="M130" s="182" t="str">
        <f>데이터입력!$AB$8</f>
        <v>00</v>
      </c>
      <c r="N130" s="185" t="str">
        <f>데이터입력!$AC$9</f>
        <v>일반사업[일반]</v>
      </c>
      <c r="O130" s="183" t="str">
        <f>IFERROR(VLOOKUP($A130,#REF!,4,FALSE),"")</f>
        <v/>
      </c>
      <c r="P130" s="183" t="str">
        <f>IFERROR(VLOOKUP($A130,#REF!,5,FALSE),"")</f>
        <v/>
      </c>
      <c r="Q130" s="789" t="str">
        <f>IFERROR(VLOOKUP($A130,#REF!,6,FALSE),"")</f>
        <v/>
      </c>
      <c r="R130" s="183" t="str">
        <f>IFERROR(VLOOKUP($A130,#REF!,7,FALSE),"")</f>
        <v/>
      </c>
      <c r="S130" s="183"/>
      <c r="T130" s="184" t="str">
        <f>IFERROR(VLOOKUP($A130,#REF!,9,FALSE),"")</f>
        <v/>
      </c>
      <c r="U130" s="184" t="str">
        <f>IFERROR(VLOOKUP($A130,#REF!,10,FALSE),"")</f>
        <v/>
      </c>
      <c r="V130" s="184" t="str">
        <f>IFERROR(VLOOKUP($A130,#REF!,11,FALSE),"")</f>
        <v/>
      </c>
      <c r="W130" s="184" t="str">
        <f>IFERROR(VLOOKUP($A130,#REF!,12,FALSE),"")</f>
        <v/>
      </c>
      <c r="X130" s="184" t="str">
        <f>IFERROR(VLOOKUP($A130,#REF!,13,FALSE),"")</f>
        <v/>
      </c>
    </row>
    <row r="131" spans="1:24">
      <c r="A131" s="172">
        <v>129</v>
      </c>
      <c r="B131" s="180" t="str">
        <f>IFERROR(IF(F131="06",데이터입력!$AB$8,IF(F131="07",데이터입력!$AD$8,IF(F131="05",데이터입력!$AF$8,데이터입력!$AB$8))),데이터입력!$AB$8)</f>
        <v>00</v>
      </c>
      <c r="C131" s="584" t="str">
        <f>데이터입력!$AC$9</f>
        <v>일반사업[일반]</v>
      </c>
      <c r="D131" s="185" t="str">
        <f>IFERROR(VLOOKUP($A131,데이터입력!$A:$H,4,FALSE),"")</f>
        <v/>
      </c>
      <c r="E131" s="185" t="str">
        <f>IFERROR(VLOOKUP($A131,데이터입력!$A:$H,2,FALSE),"")</f>
        <v/>
      </c>
      <c r="F131" s="185" t="str">
        <f>IFERROR(VLOOKUP($A131,데이터입력!$A:$H,5,FALSE),"")</f>
        <v/>
      </c>
      <c r="G131" s="185" t="str">
        <f>IFERROR(VLOOKUP($A131,데이터입력!$A:$H,6,FALSE),"")</f>
        <v/>
      </c>
      <c r="H131" s="186" t="str">
        <f>IFERROR(VLOOKUP($A131,데이터입력!$A:$L,8,FALSE)+VLOOKUP($A131,데이터입력!$A:$L,9,FALSE)+VLOOKUP($A131,데이터입력!$A:$L,10,FALSE),"")</f>
        <v/>
      </c>
      <c r="I131" s="181" t="s">
        <v>135</v>
      </c>
      <c r="J131" s="181" t="s">
        <v>135</v>
      </c>
      <c r="K131" s="181" t="s">
        <v>135</v>
      </c>
      <c r="M131" s="182" t="str">
        <f>데이터입력!$AB$8</f>
        <v>00</v>
      </c>
      <c r="N131" s="185" t="str">
        <f>데이터입력!$AC$9</f>
        <v>일반사업[일반]</v>
      </c>
      <c r="O131" s="183" t="str">
        <f>IFERROR(VLOOKUP($A131,#REF!,4,FALSE),"")</f>
        <v/>
      </c>
      <c r="P131" s="183" t="str">
        <f>IFERROR(VLOOKUP($A131,#REF!,5,FALSE),"")</f>
        <v/>
      </c>
      <c r="Q131" s="789" t="str">
        <f>IFERROR(VLOOKUP($A131,#REF!,6,FALSE),"")</f>
        <v/>
      </c>
      <c r="R131" s="183" t="str">
        <f>IFERROR(VLOOKUP($A131,#REF!,7,FALSE),"")</f>
        <v/>
      </c>
      <c r="S131" s="183"/>
      <c r="T131" s="184" t="str">
        <f>IFERROR(VLOOKUP($A131,#REF!,9,FALSE),"")</f>
        <v/>
      </c>
      <c r="U131" s="184" t="str">
        <f>IFERROR(VLOOKUP($A131,#REF!,10,FALSE),"")</f>
        <v/>
      </c>
      <c r="V131" s="184" t="str">
        <f>IFERROR(VLOOKUP($A131,#REF!,11,FALSE),"")</f>
        <v/>
      </c>
      <c r="W131" s="184" t="str">
        <f>IFERROR(VLOOKUP($A131,#REF!,12,FALSE),"")</f>
        <v/>
      </c>
      <c r="X131" s="184" t="str">
        <f>IFERROR(VLOOKUP($A131,#REF!,13,FALSE),"")</f>
        <v/>
      </c>
    </row>
    <row r="132" spans="1:24">
      <c r="A132" s="172">
        <v>130</v>
      </c>
      <c r="B132" s="180" t="str">
        <f>IFERROR(IF(F132="06",데이터입력!$AB$8,IF(F132="07",데이터입력!$AD$8,IF(F132="05",데이터입력!$AF$8,데이터입력!$AB$8))),데이터입력!$AB$8)</f>
        <v>00</v>
      </c>
      <c r="C132" s="584" t="str">
        <f>데이터입력!$AC$9</f>
        <v>일반사업[일반]</v>
      </c>
      <c r="D132" s="185" t="str">
        <f>IFERROR(VLOOKUP($A132,데이터입력!$A:$H,4,FALSE),"")</f>
        <v/>
      </c>
      <c r="E132" s="185" t="str">
        <f>IFERROR(VLOOKUP($A132,데이터입력!$A:$H,2,FALSE),"")</f>
        <v/>
      </c>
      <c r="F132" s="185" t="str">
        <f>IFERROR(VLOOKUP($A132,데이터입력!$A:$H,5,FALSE),"")</f>
        <v/>
      </c>
      <c r="G132" s="185" t="str">
        <f>IFERROR(VLOOKUP($A132,데이터입력!$A:$H,6,FALSE),"")</f>
        <v/>
      </c>
      <c r="H132" s="186" t="str">
        <f>IFERROR(VLOOKUP($A132,데이터입력!$A:$L,8,FALSE)+VLOOKUP($A132,데이터입력!$A:$L,9,FALSE)+VLOOKUP($A132,데이터입력!$A:$L,10,FALSE),"")</f>
        <v/>
      </c>
      <c r="I132" s="181" t="s">
        <v>135</v>
      </c>
      <c r="J132" s="181" t="s">
        <v>135</v>
      </c>
      <c r="K132" s="181" t="s">
        <v>135</v>
      </c>
      <c r="M132" s="182" t="str">
        <f>데이터입력!$AB$8</f>
        <v>00</v>
      </c>
      <c r="N132" s="185" t="str">
        <f>데이터입력!$AC$9</f>
        <v>일반사업[일반]</v>
      </c>
      <c r="O132" s="183" t="str">
        <f>IFERROR(VLOOKUP($A132,#REF!,4,FALSE),"")</f>
        <v/>
      </c>
      <c r="P132" s="183" t="str">
        <f>IFERROR(VLOOKUP($A132,#REF!,5,FALSE),"")</f>
        <v/>
      </c>
      <c r="Q132" s="789" t="str">
        <f>IFERROR(VLOOKUP($A132,#REF!,6,FALSE),"")</f>
        <v/>
      </c>
      <c r="R132" s="183" t="str">
        <f>IFERROR(VLOOKUP($A132,#REF!,7,FALSE),"")</f>
        <v/>
      </c>
      <c r="S132" s="183"/>
      <c r="T132" s="184" t="str">
        <f>IFERROR(VLOOKUP($A132,#REF!,9,FALSE),"")</f>
        <v/>
      </c>
      <c r="U132" s="184" t="str">
        <f>IFERROR(VLOOKUP($A132,#REF!,10,FALSE),"")</f>
        <v/>
      </c>
      <c r="V132" s="184" t="str">
        <f>IFERROR(VLOOKUP($A132,#REF!,11,FALSE),"")</f>
        <v/>
      </c>
      <c r="W132" s="184" t="str">
        <f>IFERROR(VLOOKUP($A132,#REF!,12,FALSE),"")</f>
        <v/>
      </c>
      <c r="X132" s="184" t="str">
        <f>IFERROR(VLOOKUP($A132,#REF!,13,FALSE),"")</f>
        <v/>
      </c>
    </row>
    <row r="133" spans="1:24">
      <c r="A133" s="172">
        <v>131</v>
      </c>
      <c r="B133" s="180" t="str">
        <f>IFERROR(IF(F133="06",데이터입력!$AB$8,IF(F133="07",데이터입력!$AD$8,IF(F133="05",데이터입력!$AF$8,데이터입력!$AB$8))),데이터입력!$AB$8)</f>
        <v>00</v>
      </c>
      <c r="C133" s="584" t="str">
        <f>데이터입력!$AC$9</f>
        <v>일반사업[일반]</v>
      </c>
      <c r="D133" s="185" t="str">
        <f>IFERROR(VLOOKUP($A133,데이터입력!$A:$H,4,FALSE),"")</f>
        <v/>
      </c>
      <c r="E133" s="185" t="str">
        <f>IFERROR(VLOOKUP($A133,데이터입력!$A:$H,2,FALSE),"")</f>
        <v/>
      </c>
      <c r="F133" s="185" t="str">
        <f>IFERROR(VLOOKUP($A133,데이터입력!$A:$H,5,FALSE),"")</f>
        <v/>
      </c>
      <c r="G133" s="185" t="str">
        <f>IFERROR(VLOOKUP($A133,데이터입력!$A:$H,6,FALSE),"")</f>
        <v/>
      </c>
      <c r="H133" s="186" t="str">
        <f>IFERROR(VLOOKUP($A133,데이터입력!$A:$L,8,FALSE)+VLOOKUP($A133,데이터입력!$A:$L,9,FALSE)+VLOOKUP($A133,데이터입력!$A:$L,10,FALSE),"")</f>
        <v/>
      </c>
      <c r="I133" s="181" t="s">
        <v>135</v>
      </c>
      <c r="J133" s="181" t="s">
        <v>135</v>
      </c>
      <c r="K133" s="181" t="s">
        <v>135</v>
      </c>
      <c r="M133" s="182" t="str">
        <f>데이터입력!$AB$8</f>
        <v>00</v>
      </c>
      <c r="N133" s="185" t="str">
        <f>데이터입력!$AC$9</f>
        <v>일반사업[일반]</v>
      </c>
      <c r="O133" s="183" t="str">
        <f>IFERROR(VLOOKUP($A133,#REF!,4,FALSE),"")</f>
        <v/>
      </c>
      <c r="P133" s="183" t="str">
        <f>IFERROR(VLOOKUP($A133,#REF!,5,FALSE),"")</f>
        <v/>
      </c>
      <c r="Q133" s="789" t="str">
        <f>IFERROR(VLOOKUP($A133,#REF!,6,FALSE),"")</f>
        <v/>
      </c>
      <c r="R133" s="183" t="str">
        <f>IFERROR(VLOOKUP($A133,#REF!,7,FALSE),"")</f>
        <v/>
      </c>
      <c r="S133" s="183"/>
      <c r="T133" s="184" t="str">
        <f>IFERROR(VLOOKUP($A133,#REF!,9,FALSE),"")</f>
        <v/>
      </c>
      <c r="U133" s="184" t="str">
        <f>IFERROR(VLOOKUP($A133,#REF!,10,FALSE),"")</f>
        <v/>
      </c>
      <c r="V133" s="184" t="str">
        <f>IFERROR(VLOOKUP($A133,#REF!,11,FALSE),"")</f>
        <v/>
      </c>
      <c r="W133" s="184" t="str">
        <f>IFERROR(VLOOKUP($A133,#REF!,12,FALSE),"")</f>
        <v/>
      </c>
      <c r="X133" s="184" t="str">
        <f>IFERROR(VLOOKUP($A133,#REF!,13,FALSE),"")</f>
        <v/>
      </c>
    </row>
    <row r="134" spans="1:24">
      <c r="A134" s="172">
        <v>132</v>
      </c>
      <c r="B134" s="180" t="str">
        <f>IFERROR(IF(F134="06",데이터입력!$AB$8,IF(F134="07",데이터입력!$AD$8,IF(F134="05",데이터입력!$AF$8,데이터입력!$AB$8))),데이터입력!$AB$8)</f>
        <v>00</v>
      </c>
      <c r="C134" s="584" t="str">
        <f>데이터입력!$AC$9</f>
        <v>일반사업[일반]</v>
      </c>
      <c r="D134" s="185" t="str">
        <f>IFERROR(VLOOKUP($A134,데이터입력!$A:$H,4,FALSE),"")</f>
        <v/>
      </c>
      <c r="E134" s="185" t="str">
        <f>IFERROR(VLOOKUP($A134,데이터입력!$A:$H,2,FALSE),"")</f>
        <v/>
      </c>
      <c r="F134" s="185" t="str">
        <f>IFERROR(VLOOKUP($A134,데이터입력!$A:$H,5,FALSE),"")</f>
        <v/>
      </c>
      <c r="G134" s="185" t="str">
        <f>IFERROR(VLOOKUP($A134,데이터입력!$A:$H,6,FALSE),"")</f>
        <v/>
      </c>
      <c r="H134" s="186" t="str">
        <f>IFERROR(VLOOKUP($A134,데이터입력!$A:$L,8,FALSE)+VLOOKUP($A134,데이터입력!$A:$L,9,FALSE)+VLOOKUP($A134,데이터입력!$A:$L,10,FALSE),"")</f>
        <v/>
      </c>
      <c r="I134" s="181" t="s">
        <v>135</v>
      </c>
      <c r="J134" s="181" t="s">
        <v>135</v>
      </c>
      <c r="K134" s="181" t="s">
        <v>135</v>
      </c>
      <c r="M134" s="182" t="str">
        <f>데이터입력!$AB$8</f>
        <v>00</v>
      </c>
      <c r="N134" s="185" t="str">
        <f>데이터입력!$AC$9</f>
        <v>일반사업[일반]</v>
      </c>
      <c r="O134" s="183" t="str">
        <f>IFERROR(VLOOKUP($A134,#REF!,4,FALSE),"")</f>
        <v/>
      </c>
      <c r="P134" s="183" t="str">
        <f>IFERROR(VLOOKUP($A134,#REF!,5,FALSE),"")</f>
        <v/>
      </c>
      <c r="Q134" s="789" t="str">
        <f>IFERROR(VLOOKUP($A134,#REF!,6,FALSE),"")</f>
        <v/>
      </c>
      <c r="R134" s="183" t="str">
        <f>IFERROR(VLOOKUP($A134,#REF!,7,FALSE),"")</f>
        <v/>
      </c>
      <c r="S134" s="183"/>
      <c r="T134" s="184" t="str">
        <f>IFERROR(VLOOKUP($A134,#REF!,9,FALSE),"")</f>
        <v/>
      </c>
      <c r="U134" s="184" t="str">
        <f>IFERROR(VLOOKUP($A134,#REF!,10,FALSE),"")</f>
        <v/>
      </c>
      <c r="V134" s="184" t="str">
        <f>IFERROR(VLOOKUP($A134,#REF!,11,FALSE),"")</f>
        <v/>
      </c>
      <c r="W134" s="184" t="str">
        <f>IFERROR(VLOOKUP($A134,#REF!,12,FALSE),"")</f>
        <v/>
      </c>
      <c r="X134" s="184" t="str">
        <f>IFERROR(VLOOKUP($A134,#REF!,13,FALSE),"")</f>
        <v/>
      </c>
    </row>
    <row r="135" spans="1:24">
      <c r="A135" s="172">
        <v>133</v>
      </c>
      <c r="B135" s="180" t="str">
        <f>IFERROR(IF(F135="06",데이터입력!$AB$8,IF(F135="07",데이터입력!$AD$8,IF(F135="05",데이터입력!$AF$8,데이터입력!$AB$8))),데이터입력!$AB$8)</f>
        <v>00</v>
      </c>
      <c r="C135" s="584" t="str">
        <f>데이터입력!$AC$9</f>
        <v>일반사업[일반]</v>
      </c>
      <c r="D135" s="185" t="str">
        <f>IFERROR(VLOOKUP($A135,데이터입력!$A:$H,4,FALSE),"")</f>
        <v/>
      </c>
      <c r="E135" s="185" t="str">
        <f>IFERROR(VLOOKUP($A135,데이터입력!$A:$H,2,FALSE),"")</f>
        <v/>
      </c>
      <c r="F135" s="185" t="str">
        <f>IFERROR(VLOOKUP($A135,데이터입력!$A:$H,5,FALSE),"")</f>
        <v/>
      </c>
      <c r="G135" s="185" t="str">
        <f>IFERROR(VLOOKUP($A135,데이터입력!$A:$H,6,FALSE),"")</f>
        <v/>
      </c>
      <c r="H135" s="186" t="str">
        <f>IFERROR(VLOOKUP($A135,데이터입력!$A:$L,8,FALSE)+VLOOKUP($A135,데이터입력!$A:$L,9,FALSE)+VLOOKUP($A135,데이터입력!$A:$L,10,FALSE),"")</f>
        <v/>
      </c>
      <c r="I135" s="181" t="s">
        <v>135</v>
      </c>
      <c r="J135" s="181" t="s">
        <v>135</v>
      </c>
      <c r="K135" s="181" t="s">
        <v>135</v>
      </c>
      <c r="M135" s="182" t="str">
        <f>데이터입력!$AB$8</f>
        <v>00</v>
      </c>
      <c r="N135" s="185" t="str">
        <f>데이터입력!$AC$9</f>
        <v>일반사업[일반]</v>
      </c>
      <c r="O135" s="183" t="str">
        <f>IFERROR(VLOOKUP($A135,#REF!,4,FALSE),"")</f>
        <v/>
      </c>
      <c r="P135" s="183" t="str">
        <f>IFERROR(VLOOKUP($A135,#REF!,5,FALSE),"")</f>
        <v/>
      </c>
      <c r="Q135" s="789" t="str">
        <f>IFERROR(VLOOKUP($A135,#REF!,6,FALSE),"")</f>
        <v/>
      </c>
      <c r="R135" s="183" t="str">
        <f>IFERROR(VLOOKUP($A135,#REF!,7,FALSE),"")</f>
        <v/>
      </c>
      <c r="S135" s="183"/>
      <c r="T135" s="184" t="str">
        <f>IFERROR(VLOOKUP($A135,#REF!,9,FALSE),"")</f>
        <v/>
      </c>
      <c r="U135" s="184" t="str">
        <f>IFERROR(VLOOKUP($A135,#REF!,10,FALSE),"")</f>
        <v/>
      </c>
      <c r="V135" s="184" t="str">
        <f>IFERROR(VLOOKUP($A135,#REF!,11,FALSE),"")</f>
        <v/>
      </c>
      <c r="W135" s="184" t="str">
        <f>IFERROR(VLOOKUP($A135,#REF!,12,FALSE),"")</f>
        <v/>
      </c>
      <c r="X135" s="184" t="str">
        <f>IFERROR(VLOOKUP($A135,#REF!,13,FALSE),"")</f>
        <v/>
      </c>
    </row>
    <row r="136" spans="1:24">
      <c r="A136" s="172">
        <v>134</v>
      </c>
      <c r="B136" s="180" t="str">
        <f>IFERROR(IF(F136="06",데이터입력!$AB$8,IF(F136="07",데이터입력!$AD$8,IF(F136="05",데이터입력!$AF$8,데이터입력!$AB$8))),데이터입력!$AB$8)</f>
        <v>00</v>
      </c>
      <c r="C136" s="584" t="str">
        <f>데이터입력!$AC$9</f>
        <v>일반사업[일반]</v>
      </c>
      <c r="D136" s="185" t="str">
        <f>IFERROR(VLOOKUP($A136,데이터입력!$A:$H,4,FALSE),"")</f>
        <v/>
      </c>
      <c r="E136" s="185" t="str">
        <f>IFERROR(VLOOKUP($A136,데이터입력!$A:$H,2,FALSE),"")</f>
        <v/>
      </c>
      <c r="F136" s="185" t="str">
        <f>IFERROR(VLOOKUP($A136,데이터입력!$A:$H,5,FALSE),"")</f>
        <v/>
      </c>
      <c r="G136" s="185" t="str">
        <f>IFERROR(VLOOKUP($A136,데이터입력!$A:$H,6,FALSE),"")</f>
        <v/>
      </c>
      <c r="H136" s="186" t="str">
        <f>IFERROR(VLOOKUP($A136,데이터입력!$A:$L,8,FALSE)+VLOOKUP($A136,데이터입력!$A:$L,9,FALSE)+VLOOKUP($A136,데이터입력!$A:$L,10,FALSE),"")</f>
        <v/>
      </c>
      <c r="I136" s="181" t="s">
        <v>135</v>
      </c>
      <c r="J136" s="181" t="s">
        <v>135</v>
      </c>
      <c r="K136" s="181" t="s">
        <v>135</v>
      </c>
      <c r="M136" s="182" t="str">
        <f>데이터입력!$AB$8</f>
        <v>00</v>
      </c>
      <c r="N136" s="185" t="str">
        <f>데이터입력!$AC$9</f>
        <v>일반사업[일반]</v>
      </c>
      <c r="O136" s="183" t="str">
        <f>IFERROR(VLOOKUP($A136,#REF!,4,FALSE),"")</f>
        <v/>
      </c>
      <c r="P136" s="183" t="str">
        <f>IFERROR(VLOOKUP($A136,#REF!,5,FALSE),"")</f>
        <v/>
      </c>
      <c r="Q136" s="789" t="str">
        <f>IFERROR(VLOOKUP($A136,#REF!,6,FALSE),"")</f>
        <v/>
      </c>
      <c r="R136" s="183" t="str">
        <f>IFERROR(VLOOKUP($A136,#REF!,7,FALSE),"")</f>
        <v/>
      </c>
      <c r="S136" s="183"/>
      <c r="T136" s="184" t="str">
        <f>IFERROR(VLOOKUP($A136,#REF!,9,FALSE),"")</f>
        <v/>
      </c>
      <c r="U136" s="184" t="str">
        <f>IFERROR(VLOOKUP($A136,#REF!,10,FALSE),"")</f>
        <v/>
      </c>
      <c r="V136" s="184" t="str">
        <f>IFERROR(VLOOKUP($A136,#REF!,11,FALSE),"")</f>
        <v/>
      </c>
      <c r="W136" s="184" t="str">
        <f>IFERROR(VLOOKUP($A136,#REF!,12,FALSE),"")</f>
        <v/>
      </c>
      <c r="X136" s="184" t="str">
        <f>IFERROR(VLOOKUP($A136,#REF!,13,FALSE),"")</f>
        <v/>
      </c>
    </row>
    <row r="137" spans="1:24">
      <c r="A137" s="172">
        <v>135</v>
      </c>
      <c r="B137" s="180" t="str">
        <f>IFERROR(IF(F137="06",데이터입력!$AB$8,IF(F137="07",데이터입력!$AD$8,IF(F137="05",데이터입력!$AF$8,데이터입력!$AB$8))),데이터입력!$AB$8)</f>
        <v>00</v>
      </c>
      <c r="C137" s="584" t="str">
        <f>데이터입력!$AC$9</f>
        <v>일반사업[일반]</v>
      </c>
      <c r="D137" s="185" t="str">
        <f>IFERROR(VLOOKUP($A137,데이터입력!$A:$H,4,FALSE),"")</f>
        <v/>
      </c>
      <c r="E137" s="185" t="str">
        <f>IFERROR(VLOOKUP($A137,데이터입력!$A:$H,2,FALSE),"")</f>
        <v/>
      </c>
      <c r="F137" s="185" t="str">
        <f>IFERROR(VLOOKUP($A137,데이터입력!$A:$H,5,FALSE),"")</f>
        <v/>
      </c>
      <c r="G137" s="185" t="str">
        <f>IFERROR(VLOOKUP($A137,데이터입력!$A:$H,6,FALSE),"")</f>
        <v/>
      </c>
      <c r="H137" s="186" t="str">
        <f>IFERROR(VLOOKUP($A137,데이터입력!$A:$L,8,FALSE)+VLOOKUP($A137,데이터입력!$A:$L,9,FALSE)+VLOOKUP($A137,데이터입력!$A:$L,10,FALSE),"")</f>
        <v/>
      </c>
      <c r="I137" s="181" t="s">
        <v>135</v>
      </c>
      <c r="J137" s="181" t="s">
        <v>135</v>
      </c>
      <c r="K137" s="181" t="s">
        <v>135</v>
      </c>
      <c r="M137" s="182" t="str">
        <f>데이터입력!$AB$8</f>
        <v>00</v>
      </c>
      <c r="N137" s="185" t="str">
        <f>데이터입력!$AC$9</f>
        <v>일반사업[일반]</v>
      </c>
      <c r="O137" s="183" t="str">
        <f>IFERROR(VLOOKUP($A137,#REF!,4,FALSE),"")</f>
        <v/>
      </c>
      <c r="P137" s="183" t="str">
        <f>IFERROR(VLOOKUP($A137,#REF!,5,FALSE),"")</f>
        <v/>
      </c>
      <c r="Q137" s="789" t="str">
        <f>IFERROR(VLOOKUP($A137,#REF!,6,FALSE),"")</f>
        <v/>
      </c>
      <c r="R137" s="183" t="str">
        <f>IFERROR(VLOOKUP($A137,#REF!,7,FALSE),"")</f>
        <v/>
      </c>
      <c r="S137" s="183"/>
      <c r="T137" s="184" t="str">
        <f>IFERROR(VLOOKUP($A137,#REF!,9,FALSE),"")</f>
        <v/>
      </c>
      <c r="U137" s="184" t="str">
        <f>IFERROR(VLOOKUP($A137,#REF!,10,FALSE),"")</f>
        <v/>
      </c>
      <c r="V137" s="184" t="str">
        <f>IFERROR(VLOOKUP($A137,#REF!,11,FALSE),"")</f>
        <v/>
      </c>
      <c r="W137" s="184" t="str">
        <f>IFERROR(VLOOKUP($A137,#REF!,12,FALSE),"")</f>
        <v/>
      </c>
      <c r="X137" s="184" t="str">
        <f>IFERROR(VLOOKUP($A137,#REF!,13,FALSE),"")</f>
        <v/>
      </c>
    </row>
    <row r="138" spans="1:24">
      <c r="A138" s="172">
        <v>136</v>
      </c>
      <c r="B138" s="180" t="str">
        <f>IFERROR(IF(F138="06",데이터입력!$AB$8,IF(F138="07",데이터입력!$AD$8,IF(F138="05",데이터입력!$AF$8,데이터입력!$AB$8))),데이터입력!$AB$8)</f>
        <v>00</v>
      </c>
      <c r="C138" s="584" t="str">
        <f>데이터입력!$AC$9</f>
        <v>일반사업[일반]</v>
      </c>
      <c r="D138" s="185" t="str">
        <f>IFERROR(VLOOKUP($A138,데이터입력!$A:$H,4,FALSE),"")</f>
        <v/>
      </c>
      <c r="E138" s="185" t="str">
        <f>IFERROR(VLOOKUP($A138,데이터입력!$A:$H,2,FALSE),"")</f>
        <v/>
      </c>
      <c r="F138" s="185" t="str">
        <f>IFERROR(VLOOKUP($A138,데이터입력!$A:$H,5,FALSE),"")</f>
        <v/>
      </c>
      <c r="G138" s="185" t="str">
        <f>IFERROR(VLOOKUP($A138,데이터입력!$A:$H,6,FALSE),"")</f>
        <v/>
      </c>
      <c r="H138" s="186" t="str">
        <f>IFERROR(VLOOKUP($A138,데이터입력!$A:$L,8,FALSE)+VLOOKUP($A138,데이터입력!$A:$L,9,FALSE)+VLOOKUP($A138,데이터입력!$A:$L,10,FALSE),"")</f>
        <v/>
      </c>
      <c r="I138" s="181" t="s">
        <v>135</v>
      </c>
      <c r="J138" s="181" t="s">
        <v>135</v>
      </c>
      <c r="K138" s="181" t="s">
        <v>135</v>
      </c>
      <c r="M138" s="182" t="str">
        <f>데이터입력!$AB$8</f>
        <v>00</v>
      </c>
      <c r="N138" s="185" t="str">
        <f>데이터입력!$AC$9</f>
        <v>일반사업[일반]</v>
      </c>
      <c r="O138" s="183" t="str">
        <f>IFERROR(VLOOKUP($A138,#REF!,4,FALSE),"")</f>
        <v/>
      </c>
      <c r="P138" s="183" t="str">
        <f>IFERROR(VLOOKUP($A138,#REF!,5,FALSE),"")</f>
        <v/>
      </c>
      <c r="Q138" s="789" t="str">
        <f>IFERROR(VLOOKUP($A138,#REF!,6,FALSE),"")</f>
        <v/>
      </c>
      <c r="R138" s="183" t="str">
        <f>IFERROR(VLOOKUP($A138,#REF!,7,FALSE),"")</f>
        <v/>
      </c>
      <c r="S138" s="183"/>
      <c r="T138" s="184" t="str">
        <f>IFERROR(VLOOKUP($A138,#REF!,9,FALSE),"")</f>
        <v/>
      </c>
      <c r="U138" s="184" t="str">
        <f>IFERROR(VLOOKUP($A138,#REF!,10,FALSE),"")</f>
        <v/>
      </c>
      <c r="V138" s="184" t="str">
        <f>IFERROR(VLOOKUP($A138,#REF!,11,FALSE),"")</f>
        <v/>
      </c>
      <c r="W138" s="184" t="str">
        <f>IFERROR(VLOOKUP($A138,#REF!,12,FALSE),"")</f>
        <v/>
      </c>
      <c r="X138" s="184" t="str">
        <f>IFERROR(VLOOKUP($A138,#REF!,13,FALSE),"")</f>
        <v/>
      </c>
    </row>
    <row r="139" spans="1:24">
      <c r="A139" s="172">
        <v>137</v>
      </c>
      <c r="B139" s="180" t="str">
        <f>IFERROR(IF(F139="06",데이터입력!$AB$8,IF(F139="07",데이터입력!$AD$8,IF(F139="05",데이터입력!$AF$8,데이터입력!$AB$8))),데이터입력!$AB$8)</f>
        <v>00</v>
      </c>
      <c r="C139" s="584" t="str">
        <f>데이터입력!$AC$9</f>
        <v>일반사업[일반]</v>
      </c>
      <c r="D139" s="185" t="str">
        <f>IFERROR(VLOOKUP($A139,데이터입력!$A:$H,4,FALSE),"")</f>
        <v/>
      </c>
      <c r="E139" s="185" t="str">
        <f>IFERROR(VLOOKUP($A139,데이터입력!$A:$H,2,FALSE),"")</f>
        <v/>
      </c>
      <c r="F139" s="185" t="str">
        <f>IFERROR(VLOOKUP($A139,데이터입력!$A:$H,5,FALSE),"")</f>
        <v/>
      </c>
      <c r="G139" s="185" t="str">
        <f>IFERROR(VLOOKUP($A139,데이터입력!$A:$H,6,FALSE),"")</f>
        <v/>
      </c>
      <c r="H139" s="186" t="str">
        <f>IFERROR(VLOOKUP($A139,데이터입력!$A:$L,8,FALSE)+VLOOKUP($A139,데이터입력!$A:$L,9,FALSE)+VLOOKUP($A139,데이터입력!$A:$L,10,FALSE),"")</f>
        <v/>
      </c>
      <c r="I139" s="181" t="s">
        <v>135</v>
      </c>
      <c r="J139" s="181" t="s">
        <v>135</v>
      </c>
      <c r="K139" s="181" t="s">
        <v>135</v>
      </c>
      <c r="M139" s="182" t="str">
        <f>데이터입력!$AB$8</f>
        <v>00</v>
      </c>
      <c r="N139" s="185" t="str">
        <f>데이터입력!$AC$9</f>
        <v>일반사업[일반]</v>
      </c>
      <c r="O139" s="183" t="str">
        <f>IFERROR(VLOOKUP($A139,#REF!,4,FALSE),"")</f>
        <v/>
      </c>
      <c r="P139" s="183" t="str">
        <f>IFERROR(VLOOKUP($A139,#REF!,5,FALSE),"")</f>
        <v/>
      </c>
      <c r="Q139" s="789" t="str">
        <f>IFERROR(VLOOKUP($A139,#REF!,6,FALSE),"")</f>
        <v/>
      </c>
      <c r="R139" s="183" t="str">
        <f>IFERROR(VLOOKUP($A139,#REF!,7,FALSE),"")</f>
        <v/>
      </c>
      <c r="S139" s="183"/>
      <c r="T139" s="184" t="str">
        <f>IFERROR(VLOOKUP($A139,#REF!,9,FALSE),"")</f>
        <v/>
      </c>
      <c r="U139" s="184" t="str">
        <f>IFERROR(VLOOKUP($A139,#REF!,10,FALSE),"")</f>
        <v/>
      </c>
      <c r="V139" s="184" t="str">
        <f>IFERROR(VLOOKUP($A139,#REF!,11,FALSE),"")</f>
        <v/>
      </c>
      <c r="W139" s="184" t="str">
        <f>IFERROR(VLOOKUP($A139,#REF!,12,FALSE),"")</f>
        <v/>
      </c>
      <c r="X139" s="184" t="str">
        <f>IFERROR(VLOOKUP($A139,#REF!,13,FALSE),"")</f>
        <v/>
      </c>
    </row>
    <row r="140" spans="1:24">
      <c r="A140" s="172">
        <v>138</v>
      </c>
      <c r="B140" s="180" t="str">
        <f>IFERROR(IF(F140="06",데이터입력!$AB$8,IF(F140="07",데이터입력!$AD$8,IF(F140="05",데이터입력!$AF$8,데이터입력!$AB$8))),데이터입력!$AB$8)</f>
        <v>00</v>
      </c>
      <c r="C140" s="584" t="str">
        <f>데이터입력!$AC$9</f>
        <v>일반사업[일반]</v>
      </c>
      <c r="D140" s="185" t="str">
        <f>IFERROR(VLOOKUP($A140,데이터입력!$A:$H,4,FALSE),"")</f>
        <v/>
      </c>
      <c r="E140" s="185" t="str">
        <f>IFERROR(VLOOKUP($A140,데이터입력!$A:$H,2,FALSE),"")</f>
        <v/>
      </c>
      <c r="F140" s="185" t="str">
        <f>IFERROR(VLOOKUP($A140,데이터입력!$A:$H,5,FALSE),"")</f>
        <v/>
      </c>
      <c r="G140" s="185" t="str">
        <f>IFERROR(VLOOKUP($A140,데이터입력!$A:$H,6,FALSE),"")</f>
        <v/>
      </c>
      <c r="H140" s="186" t="str">
        <f>IFERROR(VLOOKUP($A140,데이터입력!$A:$L,8,FALSE)+VLOOKUP($A140,데이터입력!$A:$L,9,FALSE)+VLOOKUP($A140,데이터입력!$A:$L,10,FALSE),"")</f>
        <v/>
      </c>
      <c r="I140" s="181" t="s">
        <v>135</v>
      </c>
      <c r="J140" s="181" t="s">
        <v>135</v>
      </c>
      <c r="K140" s="181" t="s">
        <v>135</v>
      </c>
      <c r="M140" s="182" t="str">
        <f>데이터입력!$AB$8</f>
        <v>00</v>
      </c>
      <c r="N140" s="185" t="str">
        <f>데이터입력!$AC$9</f>
        <v>일반사업[일반]</v>
      </c>
      <c r="O140" s="183" t="str">
        <f>IFERROR(VLOOKUP($A140,#REF!,4,FALSE),"")</f>
        <v/>
      </c>
      <c r="P140" s="183" t="str">
        <f>IFERROR(VLOOKUP($A140,#REF!,5,FALSE),"")</f>
        <v/>
      </c>
      <c r="Q140" s="789" t="str">
        <f>IFERROR(VLOOKUP($A140,#REF!,6,FALSE),"")</f>
        <v/>
      </c>
      <c r="R140" s="183" t="str">
        <f>IFERROR(VLOOKUP($A140,#REF!,7,FALSE),"")</f>
        <v/>
      </c>
      <c r="S140" s="183"/>
      <c r="T140" s="184" t="str">
        <f>IFERROR(VLOOKUP($A140,#REF!,9,FALSE),"")</f>
        <v/>
      </c>
      <c r="U140" s="184" t="str">
        <f>IFERROR(VLOOKUP($A140,#REF!,10,FALSE),"")</f>
        <v/>
      </c>
      <c r="V140" s="184" t="str">
        <f>IFERROR(VLOOKUP($A140,#REF!,11,FALSE),"")</f>
        <v/>
      </c>
      <c r="W140" s="184" t="str">
        <f>IFERROR(VLOOKUP($A140,#REF!,12,FALSE),"")</f>
        <v/>
      </c>
      <c r="X140" s="184" t="str">
        <f>IFERROR(VLOOKUP($A140,#REF!,13,FALSE),"")</f>
        <v/>
      </c>
    </row>
    <row r="141" spans="1:24">
      <c r="A141" s="172">
        <v>139</v>
      </c>
      <c r="B141" s="180" t="str">
        <f>IFERROR(IF(F141="06",데이터입력!$AB$8,IF(F141="07",데이터입력!$AD$8,IF(F141="05",데이터입력!$AF$8,데이터입력!$AB$8))),데이터입력!$AB$8)</f>
        <v>00</v>
      </c>
      <c r="C141" s="584" t="str">
        <f>데이터입력!$AC$9</f>
        <v>일반사업[일반]</v>
      </c>
      <c r="D141" s="185" t="str">
        <f>IFERROR(VLOOKUP($A141,데이터입력!$A:$H,4,FALSE),"")</f>
        <v/>
      </c>
      <c r="E141" s="185" t="str">
        <f>IFERROR(VLOOKUP($A141,데이터입력!$A:$H,2,FALSE),"")</f>
        <v/>
      </c>
      <c r="F141" s="185" t="str">
        <f>IFERROR(VLOOKUP($A141,데이터입력!$A:$H,5,FALSE),"")</f>
        <v/>
      </c>
      <c r="G141" s="185" t="str">
        <f>IFERROR(VLOOKUP($A141,데이터입력!$A:$H,6,FALSE),"")</f>
        <v/>
      </c>
      <c r="H141" s="186" t="str">
        <f>IFERROR(VLOOKUP($A141,데이터입력!$A:$L,8,FALSE)+VLOOKUP($A141,데이터입력!$A:$L,9,FALSE)+VLOOKUP($A141,데이터입력!$A:$L,10,FALSE),"")</f>
        <v/>
      </c>
      <c r="I141" s="181" t="s">
        <v>135</v>
      </c>
      <c r="J141" s="181" t="s">
        <v>135</v>
      </c>
      <c r="K141" s="181" t="s">
        <v>135</v>
      </c>
      <c r="M141" s="182" t="str">
        <f>데이터입력!$AB$8</f>
        <v>00</v>
      </c>
      <c r="N141" s="185" t="str">
        <f>데이터입력!$AC$9</f>
        <v>일반사업[일반]</v>
      </c>
      <c r="O141" s="183" t="str">
        <f>IFERROR(VLOOKUP($A141,#REF!,4,FALSE),"")</f>
        <v/>
      </c>
      <c r="P141" s="183" t="str">
        <f>IFERROR(VLOOKUP($A141,#REF!,5,FALSE),"")</f>
        <v/>
      </c>
      <c r="Q141" s="789" t="str">
        <f>IFERROR(VLOOKUP($A141,#REF!,6,FALSE),"")</f>
        <v/>
      </c>
      <c r="R141" s="183" t="str">
        <f>IFERROR(VLOOKUP($A141,#REF!,7,FALSE),"")</f>
        <v/>
      </c>
      <c r="S141" s="183"/>
      <c r="T141" s="184" t="str">
        <f>IFERROR(VLOOKUP($A141,#REF!,9,FALSE),"")</f>
        <v/>
      </c>
      <c r="U141" s="184" t="str">
        <f>IFERROR(VLOOKUP($A141,#REF!,10,FALSE),"")</f>
        <v/>
      </c>
      <c r="V141" s="184" t="str">
        <f>IFERROR(VLOOKUP($A141,#REF!,11,FALSE),"")</f>
        <v/>
      </c>
      <c r="W141" s="184" t="str">
        <f>IFERROR(VLOOKUP($A141,#REF!,12,FALSE),"")</f>
        <v/>
      </c>
      <c r="X141" s="184" t="str">
        <f>IFERROR(VLOOKUP($A141,#REF!,13,FALSE),"")</f>
        <v/>
      </c>
    </row>
    <row r="142" spans="1:24">
      <c r="A142" s="172">
        <v>140</v>
      </c>
      <c r="B142" s="180" t="str">
        <f>IFERROR(IF(F142="06",데이터입력!$AB$8,IF(F142="07",데이터입력!$AD$8,IF(F142="05",데이터입력!$AF$8,데이터입력!$AB$8))),데이터입력!$AB$8)</f>
        <v>00</v>
      </c>
      <c r="C142" s="584" t="str">
        <f>데이터입력!$AC$9</f>
        <v>일반사업[일반]</v>
      </c>
      <c r="D142" s="185" t="str">
        <f>IFERROR(VLOOKUP($A142,데이터입력!$A:$H,4,FALSE),"")</f>
        <v/>
      </c>
      <c r="E142" s="185" t="str">
        <f>IFERROR(VLOOKUP($A142,데이터입력!$A:$H,2,FALSE),"")</f>
        <v/>
      </c>
      <c r="F142" s="185" t="str">
        <f>IFERROR(VLOOKUP($A142,데이터입력!$A:$H,5,FALSE),"")</f>
        <v/>
      </c>
      <c r="G142" s="185" t="str">
        <f>IFERROR(VLOOKUP($A142,데이터입력!$A:$H,6,FALSE),"")</f>
        <v/>
      </c>
      <c r="H142" s="186" t="str">
        <f>IFERROR(VLOOKUP($A142,데이터입력!$A:$L,8,FALSE)+VLOOKUP($A142,데이터입력!$A:$L,9,FALSE)+VLOOKUP($A142,데이터입력!$A:$L,10,FALSE),"")</f>
        <v/>
      </c>
      <c r="I142" s="181" t="s">
        <v>135</v>
      </c>
      <c r="J142" s="181" t="s">
        <v>135</v>
      </c>
      <c r="K142" s="181" t="s">
        <v>135</v>
      </c>
      <c r="M142" s="182" t="str">
        <f>데이터입력!$AB$8</f>
        <v>00</v>
      </c>
      <c r="N142" s="185" t="str">
        <f>데이터입력!$AC$9</f>
        <v>일반사업[일반]</v>
      </c>
      <c r="O142" s="183" t="str">
        <f>IFERROR(VLOOKUP($A142,#REF!,4,FALSE),"")</f>
        <v/>
      </c>
      <c r="P142" s="183" t="str">
        <f>IFERROR(VLOOKUP($A142,#REF!,5,FALSE),"")</f>
        <v/>
      </c>
      <c r="Q142" s="789" t="str">
        <f>IFERROR(VLOOKUP($A142,#REF!,6,FALSE),"")</f>
        <v/>
      </c>
      <c r="R142" s="183" t="str">
        <f>IFERROR(VLOOKUP($A142,#REF!,7,FALSE),"")</f>
        <v/>
      </c>
      <c r="S142" s="183"/>
      <c r="T142" s="184" t="str">
        <f>IFERROR(VLOOKUP($A142,#REF!,9,FALSE),"")</f>
        <v/>
      </c>
      <c r="U142" s="184" t="str">
        <f>IFERROR(VLOOKUP($A142,#REF!,10,FALSE),"")</f>
        <v/>
      </c>
      <c r="V142" s="184" t="str">
        <f>IFERROR(VLOOKUP($A142,#REF!,11,FALSE),"")</f>
        <v/>
      </c>
      <c r="W142" s="184" t="str">
        <f>IFERROR(VLOOKUP($A142,#REF!,12,FALSE),"")</f>
        <v/>
      </c>
      <c r="X142" s="184" t="str">
        <f>IFERROR(VLOOKUP($A142,#REF!,13,FALSE),"")</f>
        <v/>
      </c>
    </row>
    <row r="143" spans="1:24">
      <c r="A143" s="172">
        <v>141</v>
      </c>
      <c r="B143" s="180" t="str">
        <f>IFERROR(IF(F143="06",데이터입력!$AB$8,IF(F143="07",데이터입력!$AD$8,IF(F143="05",데이터입력!$AF$8,데이터입력!$AB$8))),데이터입력!$AB$8)</f>
        <v>00</v>
      </c>
      <c r="C143" s="584" t="str">
        <f>데이터입력!$AC$9</f>
        <v>일반사업[일반]</v>
      </c>
      <c r="D143" s="185" t="str">
        <f>IFERROR(VLOOKUP($A143,데이터입력!$A:$H,4,FALSE),"")</f>
        <v/>
      </c>
      <c r="E143" s="185" t="str">
        <f>IFERROR(VLOOKUP($A143,데이터입력!$A:$H,2,FALSE),"")</f>
        <v/>
      </c>
      <c r="F143" s="185" t="str">
        <f>IFERROR(VLOOKUP($A143,데이터입력!$A:$H,5,FALSE),"")</f>
        <v/>
      </c>
      <c r="G143" s="185" t="str">
        <f>IFERROR(VLOOKUP($A143,데이터입력!$A:$H,6,FALSE),"")</f>
        <v/>
      </c>
      <c r="H143" s="186" t="str">
        <f>IFERROR(VLOOKUP($A143,데이터입력!$A:$L,8,FALSE)+VLOOKUP($A143,데이터입력!$A:$L,9,FALSE)+VLOOKUP($A143,데이터입력!$A:$L,10,FALSE),"")</f>
        <v/>
      </c>
      <c r="I143" s="181" t="s">
        <v>135</v>
      </c>
      <c r="J143" s="181" t="s">
        <v>135</v>
      </c>
      <c r="K143" s="181" t="s">
        <v>135</v>
      </c>
      <c r="M143" s="182" t="str">
        <f>데이터입력!$AB$8</f>
        <v>00</v>
      </c>
      <c r="N143" s="185" t="str">
        <f>데이터입력!$AC$9</f>
        <v>일반사업[일반]</v>
      </c>
      <c r="O143" s="183" t="str">
        <f>IFERROR(VLOOKUP($A143,#REF!,4,FALSE),"")</f>
        <v/>
      </c>
      <c r="P143" s="183" t="str">
        <f>IFERROR(VLOOKUP($A143,#REF!,5,FALSE),"")</f>
        <v/>
      </c>
      <c r="Q143" s="789" t="str">
        <f>IFERROR(VLOOKUP($A143,#REF!,6,FALSE),"")</f>
        <v/>
      </c>
      <c r="R143" s="183" t="str">
        <f>IFERROR(VLOOKUP($A143,#REF!,7,FALSE),"")</f>
        <v/>
      </c>
      <c r="S143" s="183"/>
      <c r="T143" s="184" t="str">
        <f>IFERROR(VLOOKUP($A143,#REF!,9,FALSE),"")</f>
        <v/>
      </c>
      <c r="U143" s="184" t="str">
        <f>IFERROR(VLOOKUP($A143,#REF!,10,FALSE),"")</f>
        <v/>
      </c>
      <c r="V143" s="184" t="str">
        <f>IFERROR(VLOOKUP($A143,#REF!,11,FALSE),"")</f>
        <v/>
      </c>
      <c r="W143" s="184" t="str">
        <f>IFERROR(VLOOKUP($A143,#REF!,12,FALSE),"")</f>
        <v/>
      </c>
      <c r="X143" s="184" t="str">
        <f>IFERROR(VLOOKUP($A143,#REF!,13,FALSE),"")</f>
        <v/>
      </c>
    </row>
    <row r="144" spans="1:24">
      <c r="A144" s="172">
        <v>142</v>
      </c>
      <c r="B144" s="180" t="str">
        <f>IFERROR(IF(F144="06",데이터입력!$AB$8,IF(F144="07",데이터입력!$AD$8,IF(F144="05",데이터입력!$AF$8,데이터입력!$AB$8))),데이터입력!$AB$8)</f>
        <v>00</v>
      </c>
      <c r="C144" s="584" t="str">
        <f>데이터입력!$AC$9</f>
        <v>일반사업[일반]</v>
      </c>
      <c r="D144" s="185" t="str">
        <f>IFERROR(VLOOKUP($A144,데이터입력!$A:$H,4,FALSE),"")</f>
        <v/>
      </c>
      <c r="E144" s="185" t="str">
        <f>IFERROR(VLOOKUP($A144,데이터입력!$A:$H,2,FALSE),"")</f>
        <v/>
      </c>
      <c r="F144" s="185" t="str">
        <f>IFERROR(VLOOKUP($A144,데이터입력!$A:$H,5,FALSE),"")</f>
        <v/>
      </c>
      <c r="G144" s="185" t="str">
        <f>IFERROR(VLOOKUP($A144,데이터입력!$A:$H,6,FALSE),"")</f>
        <v/>
      </c>
      <c r="H144" s="186" t="str">
        <f>IFERROR(VLOOKUP($A144,데이터입력!$A:$L,8,FALSE)+VLOOKUP($A144,데이터입력!$A:$L,9,FALSE)+VLOOKUP($A144,데이터입력!$A:$L,10,FALSE),"")</f>
        <v/>
      </c>
      <c r="I144" s="181" t="s">
        <v>135</v>
      </c>
      <c r="J144" s="181" t="s">
        <v>135</v>
      </c>
      <c r="K144" s="181" t="s">
        <v>135</v>
      </c>
      <c r="M144" s="182" t="str">
        <f>데이터입력!$AB$8</f>
        <v>00</v>
      </c>
      <c r="N144" s="185" t="str">
        <f>데이터입력!$AC$9</f>
        <v>일반사업[일반]</v>
      </c>
      <c r="O144" s="183" t="str">
        <f>IFERROR(VLOOKUP($A144,#REF!,4,FALSE),"")</f>
        <v/>
      </c>
      <c r="P144" s="183" t="str">
        <f>IFERROR(VLOOKUP($A144,#REF!,5,FALSE),"")</f>
        <v/>
      </c>
      <c r="Q144" s="789" t="str">
        <f>IFERROR(VLOOKUP($A144,#REF!,6,FALSE),"")</f>
        <v/>
      </c>
      <c r="R144" s="183" t="str">
        <f>IFERROR(VLOOKUP($A144,#REF!,7,FALSE),"")</f>
        <v/>
      </c>
      <c r="S144" s="183"/>
      <c r="T144" s="184" t="str">
        <f>IFERROR(VLOOKUP($A144,#REF!,9,FALSE),"")</f>
        <v/>
      </c>
      <c r="U144" s="184" t="str">
        <f>IFERROR(VLOOKUP($A144,#REF!,10,FALSE),"")</f>
        <v/>
      </c>
      <c r="V144" s="184" t="str">
        <f>IFERROR(VLOOKUP($A144,#REF!,11,FALSE),"")</f>
        <v/>
      </c>
      <c r="W144" s="184" t="str">
        <f>IFERROR(VLOOKUP($A144,#REF!,12,FALSE),"")</f>
        <v/>
      </c>
      <c r="X144" s="184" t="str">
        <f>IFERROR(VLOOKUP($A144,#REF!,13,FALSE),"")</f>
        <v/>
      </c>
    </row>
    <row r="145" spans="1:24">
      <c r="A145" s="172">
        <v>143</v>
      </c>
      <c r="B145" s="180" t="str">
        <f>IFERROR(IF(F145="06",데이터입력!$AB$8,IF(F145="07",데이터입력!$AD$8,IF(F145="05",데이터입력!$AF$8,데이터입력!$AB$8))),데이터입력!$AB$8)</f>
        <v>00</v>
      </c>
      <c r="C145" s="584" t="str">
        <f>데이터입력!$AC$9</f>
        <v>일반사업[일반]</v>
      </c>
      <c r="D145" s="185" t="str">
        <f>IFERROR(VLOOKUP($A145,데이터입력!$A:$H,4,FALSE),"")</f>
        <v/>
      </c>
      <c r="E145" s="185" t="str">
        <f>IFERROR(VLOOKUP($A145,데이터입력!$A:$H,2,FALSE),"")</f>
        <v/>
      </c>
      <c r="F145" s="185" t="str">
        <f>IFERROR(VLOOKUP($A145,데이터입력!$A:$H,5,FALSE),"")</f>
        <v/>
      </c>
      <c r="G145" s="185" t="str">
        <f>IFERROR(VLOOKUP($A145,데이터입력!$A:$H,6,FALSE),"")</f>
        <v/>
      </c>
      <c r="H145" s="186" t="str">
        <f>IFERROR(VLOOKUP($A145,데이터입력!$A:$L,8,FALSE)+VLOOKUP($A145,데이터입력!$A:$L,9,FALSE)+VLOOKUP($A145,데이터입력!$A:$L,10,FALSE),"")</f>
        <v/>
      </c>
      <c r="I145" s="181" t="s">
        <v>135</v>
      </c>
      <c r="J145" s="181" t="s">
        <v>135</v>
      </c>
      <c r="K145" s="181" t="s">
        <v>135</v>
      </c>
      <c r="M145" s="182" t="str">
        <f>데이터입력!$AB$8</f>
        <v>00</v>
      </c>
      <c r="N145" s="185" t="str">
        <f>데이터입력!$AC$9</f>
        <v>일반사업[일반]</v>
      </c>
      <c r="O145" s="183" t="str">
        <f>IFERROR(VLOOKUP($A145,#REF!,4,FALSE),"")</f>
        <v/>
      </c>
      <c r="P145" s="183" t="str">
        <f>IFERROR(VLOOKUP($A145,#REF!,5,FALSE),"")</f>
        <v/>
      </c>
      <c r="Q145" s="789" t="str">
        <f>IFERROR(VLOOKUP($A145,#REF!,6,FALSE),"")</f>
        <v/>
      </c>
      <c r="R145" s="183" t="str">
        <f>IFERROR(VLOOKUP($A145,#REF!,7,FALSE),"")</f>
        <v/>
      </c>
      <c r="S145" s="183"/>
      <c r="T145" s="184" t="str">
        <f>IFERROR(VLOOKUP($A145,#REF!,9,FALSE),"")</f>
        <v/>
      </c>
      <c r="U145" s="184" t="str">
        <f>IFERROR(VLOOKUP($A145,#REF!,10,FALSE),"")</f>
        <v/>
      </c>
      <c r="V145" s="184" t="str">
        <f>IFERROR(VLOOKUP($A145,#REF!,11,FALSE),"")</f>
        <v/>
      </c>
      <c r="W145" s="184" t="str">
        <f>IFERROR(VLOOKUP($A145,#REF!,12,FALSE),"")</f>
        <v/>
      </c>
      <c r="X145" s="184" t="str">
        <f>IFERROR(VLOOKUP($A145,#REF!,13,FALSE),"")</f>
        <v/>
      </c>
    </row>
    <row r="146" spans="1:24">
      <c r="A146" s="172">
        <v>144</v>
      </c>
      <c r="B146" s="180" t="str">
        <f>IFERROR(IF(F146="06",데이터입력!$AB$8,IF(F146="07",데이터입력!$AD$8,IF(F146="05",데이터입력!$AF$8,데이터입력!$AB$8))),데이터입력!$AB$8)</f>
        <v>00</v>
      </c>
      <c r="C146" s="584" t="str">
        <f>데이터입력!$AC$9</f>
        <v>일반사업[일반]</v>
      </c>
      <c r="D146" s="185" t="str">
        <f>IFERROR(VLOOKUP($A146,데이터입력!$A:$H,4,FALSE),"")</f>
        <v/>
      </c>
      <c r="E146" s="185" t="str">
        <f>IFERROR(VLOOKUP($A146,데이터입력!$A:$H,2,FALSE),"")</f>
        <v/>
      </c>
      <c r="F146" s="185" t="str">
        <f>IFERROR(VLOOKUP($A146,데이터입력!$A:$H,5,FALSE),"")</f>
        <v/>
      </c>
      <c r="G146" s="185" t="str">
        <f>IFERROR(VLOOKUP($A146,데이터입력!$A:$H,6,FALSE),"")</f>
        <v/>
      </c>
      <c r="H146" s="186" t="str">
        <f>IFERROR(VLOOKUP($A146,데이터입력!$A:$L,8,FALSE)+VLOOKUP($A146,데이터입력!$A:$L,9,FALSE)+VLOOKUP($A146,데이터입력!$A:$L,10,FALSE),"")</f>
        <v/>
      </c>
      <c r="I146" s="181" t="s">
        <v>135</v>
      </c>
      <c r="J146" s="181" t="s">
        <v>135</v>
      </c>
      <c r="K146" s="181" t="s">
        <v>135</v>
      </c>
      <c r="M146" s="182" t="str">
        <f>데이터입력!$AB$8</f>
        <v>00</v>
      </c>
      <c r="N146" s="185" t="str">
        <f>데이터입력!$AC$9</f>
        <v>일반사업[일반]</v>
      </c>
      <c r="O146" s="183" t="str">
        <f>IFERROR(VLOOKUP($A146,#REF!,4,FALSE),"")</f>
        <v/>
      </c>
      <c r="P146" s="183" t="str">
        <f>IFERROR(VLOOKUP($A146,#REF!,5,FALSE),"")</f>
        <v/>
      </c>
      <c r="Q146" s="789" t="str">
        <f>IFERROR(VLOOKUP($A146,#REF!,6,FALSE),"")</f>
        <v/>
      </c>
      <c r="R146" s="183" t="str">
        <f>IFERROR(VLOOKUP($A146,#REF!,7,FALSE),"")</f>
        <v/>
      </c>
      <c r="S146" s="183"/>
      <c r="T146" s="184" t="str">
        <f>IFERROR(VLOOKUP($A146,#REF!,9,FALSE),"")</f>
        <v/>
      </c>
      <c r="U146" s="184" t="str">
        <f>IFERROR(VLOOKUP($A146,#REF!,10,FALSE),"")</f>
        <v/>
      </c>
      <c r="V146" s="184" t="str">
        <f>IFERROR(VLOOKUP($A146,#REF!,11,FALSE),"")</f>
        <v/>
      </c>
      <c r="W146" s="184" t="str">
        <f>IFERROR(VLOOKUP($A146,#REF!,12,FALSE),"")</f>
        <v/>
      </c>
      <c r="X146" s="184" t="str">
        <f>IFERROR(VLOOKUP($A146,#REF!,13,FALSE),"")</f>
        <v/>
      </c>
    </row>
    <row r="147" spans="1:24">
      <c r="A147" s="172">
        <v>145</v>
      </c>
      <c r="B147" s="180" t="str">
        <f>IFERROR(IF(F147="06",데이터입력!$AB$8,IF(F147="07",데이터입력!$AD$8,IF(F147="05",데이터입력!$AF$8,데이터입력!$AB$8))),데이터입력!$AB$8)</f>
        <v>00</v>
      </c>
      <c r="C147" s="584" t="str">
        <f>데이터입력!$AC$9</f>
        <v>일반사업[일반]</v>
      </c>
      <c r="D147" s="185" t="str">
        <f>IFERROR(VLOOKUP($A147,데이터입력!$A:$H,4,FALSE),"")</f>
        <v/>
      </c>
      <c r="E147" s="185" t="str">
        <f>IFERROR(VLOOKUP($A147,데이터입력!$A:$H,2,FALSE),"")</f>
        <v/>
      </c>
      <c r="F147" s="185" t="str">
        <f>IFERROR(VLOOKUP($A147,데이터입력!$A:$H,5,FALSE),"")</f>
        <v/>
      </c>
      <c r="G147" s="185" t="str">
        <f>IFERROR(VLOOKUP($A147,데이터입력!$A:$H,6,FALSE),"")</f>
        <v/>
      </c>
      <c r="H147" s="186" t="str">
        <f>IFERROR(VLOOKUP($A147,데이터입력!$A:$L,8,FALSE)+VLOOKUP($A147,데이터입력!$A:$L,9,FALSE)+VLOOKUP($A147,데이터입력!$A:$L,10,FALSE),"")</f>
        <v/>
      </c>
      <c r="I147" s="181" t="s">
        <v>135</v>
      </c>
      <c r="J147" s="181" t="s">
        <v>135</v>
      </c>
      <c r="K147" s="181" t="s">
        <v>135</v>
      </c>
      <c r="M147" s="182" t="str">
        <f>데이터입력!$AB$8</f>
        <v>00</v>
      </c>
      <c r="N147" s="185" t="str">
        <f>데이터입력!$AC$9</f>
        <v>일반사업[일반]</v>
      </c>
      <c r="O147" s="183" t="str">
        <f>IFERROR(VLOOKUP($A147,#REF!,4,FALSE),"")</f>
        <v/>
      </c>
      <c r="P147" s="183" t="str">
        <f>IFERROR(VLOOKUP($A147,#REF!,5,FALSE),"")</f>
        <v/>
      </c>
      <c r="Q147" s="789" t="str">
        <f>IFERROR(VLOOKUP($A147,#REF!,6,FALSE),"")</f>
        <v/>
      </c>
      <c r="R147" s="183" t="str">
        <f>IFERROR(VLOOKUP($A147,#REF!,7,FALSE),"")</f>
        <v/>
      </c>
      <c r="S147" s="183"/>
      <c r="T147" s="184" t="str">
        <f>IFERROR(VLOOKUP($A147,#REF!,9,FALSE),"")</f>
        <v/>
      </c>
      <c r="U147" s="184" t="str">
        <f>IFERROR(VLOOKUP($A147,#REF!,10,FALSE),"")</f>
        <v/>
      </c>
      <c r="V147" s="184" t="str">
        <f>IFERROR(VLOOKUP($A147,#REF!,11,FALSE),"")</f>
        <v/>
      </c>
      <c r="W147" s="184" t="str">
        <f>IFERROR(VLOOKUP($A147,#REF!,12,FALSE),"")</f>
        <v/>
      </c>
      <c r="X147" s="184" t="str">
        <f>IFERROR(VLOOKUP($A147,#REF!,13,FALSE),"")</f>
        <v/>
      </c>
    </row>
    <row r="148" spans="1:24">
      <c r="A148" s="172">
        <v>146</v>
      </c>
      <c r="B148" s="180" t="str">
        <f>IFERROR(IF(F148="06",데이터입력!$AB$8,IF(F148="07",데이터입력!$AD$8,IF(F148="05",데이터입력!$AF$8,데이터입력!$AB$8))),데이터입력!$AB$8)</f>
        <v>00</v>
      </c>
      <c r="C148" s="584" t="str">
        <f>데이터입력!$AC$9</f>
        <v>일반사업[일반]</v>
      </c>
      <c r="D148" s="185" t="str">
        <f>IFERROR(VLOOKUP($A148,데이터입력!$A:$H,4,FALSE),"")</f>
        <v/>
      </c>
      <c r="E148" s="185" t="str">
        <f>IFERROR(VLOOKUP($A148,데이터입력!$A:$H,2,FALSE),"")</f>
        <v/>
      </c>
      <c r="F148" s="185" t="str">
        <f>IFERROR(VLOOKUP($A148,데이터입력!$A:$H,5,FALSE),"")</f>
        <v/>
      </c>
      <c r="G148" s="185" t="str">
        <f>IFERROR(VLOOKUP($A148,데이터입력!$A:$H,6,FALSE),"")</f>
        <v/>
      </c>
      <c r="H148" s="186" t="str">
        <f>IFERROR(VLOOKUP($A148,데이터입력!$A:$L,8,FALSE)+VLOOKUP($A148,데이터입력!$A:$L,9,FALSE)+VLOOKUP($A148,데이터입력!$A:$L,10,FALSE),"")</f>
        <v/>
      </c>
      <c r="I148" s="181" t="s">
        <v>135</v>
      </c>
      <c r="J148" s="181" t="s">
        <v>135</v>
      </c>
      <c r="K148" s="181" t="s">
        <v>135</v>
      </c>
      <c r="M148" s="182" t="str">
        <f>데이터입력!$AB$8</f>
        <v>00</v>
      </c>
      <c r="N148" s="185" t="str">
        <f>데이터입력!$AC$9</f>
        <v>일반사업[일반]</v>
      </c>
      <c r="O148" s="183" t="str">
        <f>IFERROR(VLOOKUP($A148,#REF!,4,FALSE),"")</f>
        <v/>
      </c>
      <c r="P148" s="183" t="str">
        <f>IFERROR(VLOOKUP($A148,#REF!,5,FALSE),"")</f>
        <v/>
      </c>
      <c r="Q148" s="789" t="str">
        <f>IFERROR(VLOOKUP($A148,#REF!,6,FALSE),"")</f>
        <v/>
      </c>
      <c r="R148" s="183" t="str">
        <f>IFERROR(VLOOKUP($A148,#REF!,7,FALSE),"")</f>
        <v/>
      </c>
      <c r="S148" s="183"/>
      <c r="T148" s="184" t="str">
        <f>IFERROR(VLOOKUP($A148,#REF!,9,FALSE),"")</f>
        <v/>
      </c>
      <c r="U148" s="184" t="str">
        <f>IFERROR(VLOOKUP($A148,#REF!,10,FALSE),"")</f>
        <v/>
      </c>
      <c r="V148" s="184" t="str">
        <f>IFERROR(VLOOKUP($A148,#REF!,11,FALSE),"")</f>
        <v/>
      </c>
      <c r="W148" s="184" t="str">
        <f>IFERROR(VLOOKUP($A148,#REF!,12,FALSE),"")</f>
        <v/>
      </c>
      <c r="X148" s="184" t="str">
        <f>IFERROR(VLOOKUP($A148,#REF!,13,FALSE),"")</f>
        <v/>
      </c>
    </row>
    <row r="149" spans="1:24">
      <c r="A149" s="172">
        <v>147</v>
      </c>
      <c r="B149" s="180" t="str">
        <f>IFERROR(IF(F149="06",데이터입력!$AB$8,IF(F149="07",데이터입력!$AD$8,IF(F149="05",데이터입력!$AF$8,데이터입력!$AB$8))),데이터입력!$AB$8)</f>
        <v>00</v>
      </c>
      <c r="C149" s="584" t="str">
        <f>데이터입력!$AC$9</f>
        <v>일반사업[일반]</v>
      </c>
      <c r="D149" s="185" t="str">
        <f>IFERROR(VLOOKUP($A149,데이터입력!$A:$H,4,FALSE),"")</f>
        <v/>
      </c>
      <c r="E149" s="185" t="str">
        <f>IFERROR(VLOOKUP($A149,데이터입력!$A:$H,2,FALSE),"")</f>
        <v/>
      </c>
      <c r="F149" s="185" t="str">
        <f>IFERROR(VLOOKUP($A149,데이터입력!$A:$H,5,FALSE),"")</f>
        <v/>
      </c>
      <c r="G149" s="185" t="str">
        <f>IFERROR(VLOOKUP($A149,데이터입력!$A:$H,6,FALSE),"")</f>
        <v/>
      </c>
      <c r="H149" s="186" t="str">
        <f>IFERROR(VLOOKUP($A149,데이터입력!$A:$L,8,FALSE)+VLOOKUP($A149,데이터입력!$A:$L,9,FALSE)+VLOOKUP($A149,데이터입력!$A:$L,10,FALSE),"")</f>
        <v/>
      </c>
      <c r="I149" s="181" t="s">
        <v>135</v>
      </c>
      <c r="J149" s="181" t="s">
        <v>135</v>
      </c>
      <c r="K149" s="181" t="s">
        <v>135</v>
      </c>
      <c r="M149" s="182" t="str">
        <f>데이터입력!$AB$8</f>
        <v>00</v>
      </c>
      <c r="N149" s="185" t="str">
        <f>데이터입력!$AC$9</f>
        <v>일반사업[일반]</v>
      </c>
      <c r="O149" s="183" t="str">
        <f>IFERROR(VLOOKUP($A149,#REF!,4,FALSE),"")</f>
        <v/>
      </c>
      <c r="P149" s="183" t="str">
        <f>IFERROR(VLOOKUP($A149,#REF!,5,FALSE),"")</f>
        <v/>
      </c>
      <c r="Q149" s="789" t="str">
        <f>IFERROR(VLOOKUP($A149,#REF!,6,FALSE),"")</f>
        <v/>
      </c>
      <c r="R149" s="183" t="str">
        <f>IFERROR(VLOOKUP($A149,#REF!,7,FALSE),"")</f>
        <v/>
      </c>
      <c r="S149" s="183"/>
      <c r="T149" s="184" t="str">
        <f>IFERROR(VLOOKUP($A149,#REF!,9,FALSE),"")</f>
        <v/>
      </c>
      <c r="U149" s="184" t="str">
        <f>IFERROR(VLOOKUP($A149,#REF!,10,FALSE),"")</f>
        <v/>
      </c>
      <c r="V149" s="184" t="str">
        <f>IFERROR(VLOOKUP($A149,#REF!,11,FALSE),"")</f>
        <v/>
      </c>
      <c r="W149" s="184" t="str">
        <f>IFERROR(VLOOKUP($A149,#REF!,12,FALSE),"")</f>
        <v/>
      </c>
      <c r="X149" s="184" t="str">
        <f>IFERROR(VLOOKUP($A149,#REF!,13,FALSE),"")</f>
        <v/>
      </c>
    </row>
    <row r="150" spans="1:24">
      <c r="A150" s="172">
        <v>148</v>
      </c>
      <c r="B150" s="180" t="str">
        <f>IFERROR(IF(F150="06",데이터입력!$AB$8,IF(F150="07",데이터입력!$AD$8,IF(F150="05",데이터입력!$AF$8,데이터입력!$AB$8))),데이터입력!$AB$8)</f>
        <v>00</v>
      </c>
      <c r="C150" s="584" t="str">
        <f>데이터입력!$AC$9</f>
        <v>일반사업[일반]</v>
      </c>
      <c r="D150" s="185" t="str">
        <f>IFERROR(VLOOKUP($A150,데이터입력!$A:$H,4,FALSE),"")</f>
        <v/>
      </c>
      <c r="E150" s="185" t="str">
        <f>IFERROR(VLOOKUP($A150,데이터입력!$A:$H,2,FALSE),"")</f>
        <v/>
      </c>
      <c r="F150" s="185" t="str">
        <f>IFERROR(VLOOKUP($A150,데이터입력!$A:$H,5,FALSE),"")</f>
        <v/>
      </c>
      <c r="G150" s="185" t="str">
        <f>IFERROR(VLOOKUP($A150,데이터입력!$A:$H,6,FALSE),"")</f>
        <v/>
      </c>
      <c r="H150" s="186" t="str">
        <f>IFERROR(VLOOKUP($A150,데이터입력!$A:$L,8,FALSE)+VLOOKUP($A150,데이터입력!$A:$L,9,FALSE)+VLOOKUP($A150,데이터입력!$A:$L,10,FALSE),"")</f>
        <v/>
      </c>
      <c r="I150" s="181" t="s">
        <v>135</v>
      </c>
      <c r="J150" s="181" t="s">
        <v>135</v>
      </c>
      <c r="K150" s="181" t="s">
        <v>135</v>
      </c>
      <c r="M150" s="182" t="str">
        <f>데이터입력!$AB$8</f>
        <v>00</v>
      </c>
      <c r="N150" s="185" t="str">
        <f>데이터입력!$AC$9</f>
        <v>일반사업[일반]</v>
      </c>
      <c r="O150" s="183" t="str">
        <f>IFERROR(VLOOKUP($A150,#REF!,4,FALSE),"")</f>
        <v/>
      </c>
      <c r="P150" s="183" t="str">
        <f>IFERROR(VLOOKUP($A150,#REF!,5,FALSE),"")</f>
        <v/>
      </c>
      <c r="Q150" s="789" t="str">
        <f>IFERROR(VLOOKUP($A150,#REF!,6,FALSE),"")</f>
        <v/>
      </c>
      <c r="R150" s="183" t="str">
        <f>IFERROR(VLOOKUP($A150,#REF!,7,FALSE),"")</f>
        <v/>
      </c>
      <c r="S150" s="183"/>
      <c r="T150" s="184" t="str">
        <f>IFERROR(VLOOKUP($A150,#REF!,9,FALSE),"")</f>
        <v/>
      </c>
      <c r="U150" s="184" t="str">
        <f>IFERROR(VLOOKUP($A150,#REF!,10,FALSE),"")</f>
        <v/>
      </c>
      <c r="V150" s="184" t="str">
        <f>IFERROR(VLOOKUP($A150,#REF!,11,FALSE),"")</f>
        <v/>
      </c>
      <c r="W150" s="184" t="str">
        <f>IFERROR(VLOOKUP($A150,#REF!,12,FALSE),"")</f>
        <v/>
      </c>
      <c r="X150" s="184" t="str">
        <f>IFERROR(VLOOKUP($A150,#REF!,13,FALSE),"")</f>
        <v/>
      </c>
    </row>
    <row r="151" spans="1:24">
      <c r="A151" s="172">
        <v>149</v>
      </c>
      <c r="B151" s="180" t="str">
        <f>IFERROR(IF(F151="06",데이터입력!$AB$8,IF(F151="07",데이터입력!$AD$8,IF(F151="05",데이터입력!$AF$8,데이터입력!$AB$8))),데이터입력!$AB$8)</f>
        <v>00</v>
      </c>
      <c r="C151" s="584" t="str">
        <f>데이터입력!$AC$9</f>
        <v>일반사업[일반]</v>
      </c>
      <c r="D151" s="185" t="str">
        <f>IFERROR(VLOOKUP($A151,데이터입력!$A:$H,4,FALSE),"")</f>
        <v/>
      </c>
      <c r="E151" s="185" t="str">
        <f>IFERROR(VLOOKUP($A151,데이터입력!$A:$H,2,FALSE),"")</f>
        <v/>
      </c>
      <c r="F151" s="185" t="str">
        <f>IFERROR(VLOOKUP($A151,데이터입력!$A:$H,5,FALSE),"")</f>
        <v/>
      </c>
      <c r="G151" s="185" t="str">
        <f>IFERROR(VLOOKUP($A151,데이터입력!$A:$H,6,FALSE),"")</f>
        <v/>
      </c>
      <c r="H151" s="186" t="str">
        <f>IFERROR(VLOOKUP($A151,데이터입력!$A:$L,8,FALSE)+VLOOKUP($A151,데이터입력!$A:$L,9,FALSE)+VLOOKUP($A151,데이터입력!$A:$L,10,FALSE),"")</f>
        <v/>
      </c>
      <c r="I151" s="181" t="s">
        <v>135</v>
      </c>
      <c r="J151" s="181" t="s">
        <v>135</v>
      </c>
      <c r="K151" s="181" t="s">
        <v>135</v>
      </c>
      <c r="M151" s="182" t="str">
        <f>데이터입력!$AB$8</f>
        <v>00</v>
      </c>
      <c r="N151" s="185" t="str">
        <f>데이터입력!$AC$9</f>
        <v>일반사업[일반]</v>
      </c>
      <c r="O151" s="183" t="str">
        <f>IFERROR(VLOOKUP($A151,#REF!,4,FALSE),"")</f>
        <v/>
      </c>
      <c r="P151" s="183" t="str">
        <f>IFERROR(VLOOKUP($A151,#REF!,5,FALSE),"")</f>
        <v/>
      </c>
      <c r="Q151" s="789" t="str">
        <f>IFERROR(VLOOKUP($A151,#REF!,6,FALSE),"")</f>
        <v/>
      </c>
      <c r="R151" s="183" t="str">
        <f>IFERROR(VLOOKUP($A151,#REF!,7,FALSE),"")</f>
        <v/>
      </c>
      <c r="S151" s="183"/>
      <c r="T151" s="184" t="str">
        <f>IFERROR(VLOOKUP($A151,#REF!,9,FALSE),"")</f>
        <v/>
      </c>
      <c r="U151" s="184" t="str">
        <f>IFERROR(VLOOKUP($A151,#REF!,10,FALSE),"")</f>
        <v/>
      </c>
      <c r="V151" s="184" t="str">
        <f>IFERROR(VLOOKUP($A151,#REF!,11,FALSE),"")</f>
        <v/>
      </c>
      <c r="W151" s="184" t="str">
        <f>IFERROR(VLOOKUP($A151,#REF!,12,FALSE),"")</f>
        <v/>
      </c>
      <c r="X151" s="184" t="str">
        <f>IFERROR(VLOOKUP($A151,#REF!,13,FALSE),"")</f>
        <v/>
      </c>
    </row>
    <row r="152" spans="1:24">
      <c r="A152" s="172">
        <v>150</v>
      </c>
      <c r="B152" s="180" t="str">
        <f>IFERROR(IF(F152="06",데이터입력!$AB$8,IF(F152="07",데이터입력!$AD$8,IF(F152="05",데이터입력!$AF$8,데이터입력!$AB$8))),데이터입력!$AB$8)</f>
        <v>00</v>
      </c>
      <c r="C152" s="584" t="str">
        <f>데이터입력!$AC$9</f>
        <v>일반사업[일반]</v>
      </c>
      <c r="D152" s="185" t="str">
        <f>IFERROR(VLOOKUP($A152,데이터입력!$A:$H,4,FALSE),"")</f>
        <v/>
      </c>
      <c r="E152" s="185" t="str">
        <f>IFERROR(VLOOKUP($A152,데이터입력!$A:$H,2,FALSE),"")</f>
        <v/>
      </c>
      <c r="F152" s="185" t="str">
        <f>IFERROR(VLOOKUP($A152,데이터입력!$A:$H,5,FALSE),"")</f>
        <v/>
      </c>
      <c r="G152" s="185" t="str">
        <f>IFERROR(VLOOKUP($A152,데이터입력!$A:$H,6,FALSE),"")</f>
        <v/>
      </c>
      <c r="H152" s="186" t="str">
        <f>IFERROR(VLOOKUP($A152,데이터입력!$A:$L,8,FALSE)+VLOOKUP($A152,데이터입력!$A:$L,9,FALSE)+VLOOKUP($A152,데이터입력!$A:$L,10,FALSE),"")</f>
        <v/>
      </c>
      <c r="I152" s="181" t="s">
        <v>135</v>
      </c>
      <c r="J152" s="181" t="s">
        <v>135</v>
      </c>
      <c r="K152" s="181" t="s">
        <v>135</v>
      </c>
      <c r="M152" s="182" t="str">
        <f>데이터입력!$AB$8</f>
        <v>00</v>
      </c>
      <c r="N152" s="185" t="str">
        <f>데이터입력!$AC$9</f>
        <v>일반사업[일반]</v>
      </c>
      <c r="O152" s="183" t="str">
        <f>IFERROR(VLOOKUP($A152,#REF!,4,FALSE),"")</f>
        <v/>
      </c>
      <c r="P152" s="183" t="str">
        <f>IFERROR(VLOOKUP($A152,#REF!,5,FALSE),"")</f>
        <v/>
      </c>
      <c r="Q152" s="789" t="str">
        <f>IFERROR(VLOOKUP($A152,#REF!,6,FALSE),"")</f>
        <v/>
      </c>
      <c r="R152" s="183" t="str">
        <f>IFERROR(VLOOKUP($A152,#REF!,7,FALSE),"")</f>
        <v/>
      </c>
      <c r="S152" s="183"/>
      <c r="T152" s="184" t="str">
        <f>IFERROR(VLOOKUP($A152,#REF!,9,FALSE),"")</f>
        <v/>
      </c>
      <c r="U152" s="184" t="str">
        <f>IFERROR(VLOOKUP($A152,#REF!,10,FALSE),"")</f>
        <v/>
      </c>
      <c r="V152" s="184" t="str">
        <f>IFERROR(VLOOKUP($A152,#REF!,11,FALSE),"")</f>
        <v/>
      </c>
      <c r="W152" s="184" t="str">
        <f>IFERROR(VLOOKUP($A152,#REF!,12,FALSE),"")</f>
        <v/>
      </c>
      <c r="X152" s="184" t="str">
        <f>IFERROR(VLOOKUP($A152,#REF!,13,FALSE),"")</f>
        <v/>
      </c>
    </row>
    <row r="153" spans="1:24">
      <c r="A153" s="172">
        <v>151</v>
      </c>
      <c r="B153" s="180" t="str">
        <f>IFERROR(IF(F153="06",데이터입력!$AB$8,IF(F153="07",데이터입력!$AD$8,IF(F153="05",데이터입력!$AF$8,데이터입력!$AB$8))),데이터입력!$AB$8)</f>
        <v>00</v>
      </c>
      <c r="C153" s="584" t="str">
        <f>데이터입력!$AC$9</f>
        <v>일반사업[일반]</v>
      </c>
      <c r="D153" s="185" t="str">
        <f>IFERROR(VLOOKUP($A153,데이터입력!$A:$H,4,FALSE),"")</f>
        <v/>
      </c>
      <c r="E153" s="185" t="str">
        <f>IFERROR(VLOOKUP($A153,데이터입력!$A:$H,2,FALSE),"")</f>
        <v/>
      </c>
      <c r="F153" s="185" t="str">
        <f>IFERROR(VLOOKUP($A153,데이터입력!$A:$H,5,FALSE),"")</f>
        <v/>
      </c>
      <c r="G153" s="185" t="str">
        <f>IFERROR(VLOOKUP($A153,데이터입력!$A:$H,6,FALSE),"")</f>
        <v/>
      </c>
      <c r="H153" s="186" t="str">
        <f>IFERROR(VLOOKUP($A153,데이터입력!$A:$L,8,FALSE)+VLOOKUP($A153,데이터입력!$A:$L,9,FALSE)+VLOOKUP($A153,데이터입력!$A:$L,10,FALSE),"")</f>
        <v/>
      </c>
      <c r="I153" s="181" t="s">
        <v>135</v>
      </c>
      <c r="J153" s="181" t="s">
        <v>135</v>
      </c>
      <c r="K153" s="181" t="s">
        <v>135</v>
      </c>
      <c r="M153" s="182" t="str">
        <f>데이터입력!$AB$8</f>
        <v>00</v>
      </c>
      <c r="N153" s="185" t="str">
        <f>데이터입력!$AC$9</f>
        <v>일반사업[일반]</v>
      </c>
      <c r="O153" s="183" t="str">
        <f>IFERROR(VLOOKUP($A153,#REF!,4,FALSE),"")</f>
        <v/>
      </c>
      <c r="P153" s="183" t="str">
        <f>IFERROR(VLOOKUP($A153,#REF!,5,FALSE),"")</f>
        <v/>
      </c>
      <c r="Q153" s="789" t="str">
        <f>IFERROR(VLOOKUP($A153,#REF!,6,FALSE),"")</f>
        <v/>
      </c>
      <c r="R153" s="183" t="str">
        <f>IFERROR(VLOOKUP($A153,#REF!,7,FALSE),"")</f>
        <v/>
      </c>
      <c r="S153" s="183"/>
      <c r="T153" s="184" t="str">
        <f>IFERROR(VLOOKUP($A153,#REF!,9,FALSE),"")</f>
        <v/>
      </c>
      <c r="U153" s="184" t="str">
        <f>IFERROR(VLOOKUP($A153,#REF!,10,FALSE),"")</f>
        <v/>
      </c>
      <c r="V153" s="184" t="str">
        <f>IFERROR(VLOOKUP($A153,#REF!,11,FALSE),"")</f>
        <v/>
      </c>
      <c r="W153" s="184" t="str">
        <f>IFERROR(VLOOKUP($A153,#REF!,12,FALSE),"")</f>
        <v/>
      </c>
      <c r="X153" s="184" t="str">
        <f>IFERROR(VLOOKUP($A153,#REF!,13,FALSE),"")</f>
        <v/>
      </c>
    </row>
    <row r="154" spans="1:24">
      <c r="A154" s="172">
        <v>152</v>
      </c>
      <c r="B154" s="180" t="str">
        <f>IFERROR(IF(F154="06",데이터입력!$AB$8,IF(F154="07",데이터입력!$AD$8,IF(F154="05",데이터입력!$AF$8,데이터입력!$AB$8))),데이터입력!$AB$8)</f>
        <v>00</v>
      </c>
      <c r="C154" s="584" t="str">
        <f>데이터입력!$AC$9</f>
        <v>일반사업[일반]</v>
      </c>
      <c r="D154" s="185" t="str">
        <f>IFERROR(VLOOKUP($A154,데이터입력!$A:$H,4,FALSE),"")</f>
        <v/>
      </c>
      <c r="E154" s="185" t="str">
        <f>IFERROR(VLOOKUP($A154,데이터입력!$A:$H,2,FALSE),"")</f>
        <v/>
      </c>
      <c r="F154" s="185" t="str">
        <f>IFERROR(VLOOKUP($A154,데이터입력!$A:$H,5,FALSE),"")</f>
        <v/>
      </c>
      <c r="G154" s="185" t="str">
        <f>IFERROR(VLOOKUP($A154,데이터입력!$A:$H,6,FALSE),"")</f>
        <v/>
      </c>
      <c r="H154" s="186" t="str">
        <f>IFERROR(VLOOKUP($A154,데이터입력!$A:$L,8,FALSE)+VLOOKUP($A154,데이터입력!$A:$L,9,FALSE)+VLOOKUP($A154,데이터입력!$A:$L,10,FALSE),"")</f>
        <v/>
      </c>
      <c r="I154" s="181" t="s">
        <v>135</v>
      </c>
      <c r="J154" s="181" t="s">
        <v>135</v>
      </c>
      <c r="K154" s="181" t="s">
        <v>135</v>
      </c>
      <c r="M154" s="182" t="str">
        <f>데이터입력!$AB$8</f>
        <v>00</v>
      </c>
      <c r="N154" s="185" t="str">
        <f>데이터입력!$AC$9</f>
        <v>일반사업[일반]</v>
      </c>
      <c r="O154" s="183" t="str">
        <f>IFERROR(VLOOKUP($A154,#REF!,4,FALSE),"")</f>
        <v/>
      </c>
      <c r="P154" s="183" t="str">
        <f>IFERROR(VLOOKUP($A154,#REF!,5,FALSE),"")</f>
        <v/>
      </c>
      <c r="Q154" s="789" t="str">
        <f>IFERROR(VLOOKUP($A154,#REF!,6,FALSE),"")</f>
        <v/>
      </c>
      <c r="R154" s="183" t="str">
        <f>IFERROR(VLOOKUP($A154,#REF!,7,FALSE),"")</f>
        <v/>
      </c>
      <c r="S154" s="183"/>
      <c r="T154" s="184" t="str">
        <f>IFERROR(VLOOKUP($A154,#REF!,9,FALSE),"")</f>
        <v/>
      </c>
      <c r="U154" s="184" t="str">
        <f>IFERROR(VLOOKUP($A154,#REF!,10,FALSE),"")</f>
        <v/>
      </c>
      <c r="V154" s="184" t="str">
        <f>IFERROR(VLOOKUP($A154,#REF!,11,FALSE),"")</f>
        <v/>
      </c>
      <c r="W154" s="184" t="str">
        <f>IFERROR(VLOOKUP($A154,#REF!,12,FALSE),"")</f>
        <v/>
      </c>
      <c r="X154" s="184" t="str">
        <f>IFERROR(VLOOKUP($A154,#REF!,13,FALSE),"")</f>
        <v/>
      </c>
    </row>
    <row r="155" spans="1:24">
      <c r="A155" s="172">
        <v>153</v>
      </c>
      <c r="B155" s="180" t="str">
        <f>IFERROR(IF(F155="06",데이터입력!$AB$8,IF(F155="07",데이터입력!$AD$8,IF(F155="05",데이터입력!$AF$8,데이터입력!$AB$8))),데이터입력!$AB$8)</f>
        <v>00</v>
      </c>
      <c r="C155" s="584" t="str">
        <f>데이터입력!$AC$9</f>
        <v>일반사업[일반]</v>
      </c>
      <c r="D155" s="185" t="str">
        <f>IFERROR(VLOOKUP($A155,데이터입력!$A:$H,4,FALSE),"")</f>
        <v/>
      </c>
      <c r="E155" s="185" t="str">
        <f>IFERROR(VLOOKUP($A155,데이터입력!$A:$H,2,FALSE),"")</f>
        <v/>
      </c>
      <c r="F155" s="185" t="str">
        <f>IFERROR(VLOOKUP($A155,데이터입력!$A:$H,5,FALSE),"")</f>
        <v/>
      </c>
      <c r="G155" s="185" t="str">
        <f>IFERROR(VLOOKUP($A155,데이터입력!$A:$H,6,FALSE),"")</f>
        <v/>
      </c>
      <c r="H155" s="186" t="str">
        <f>IFERROR(VLOOKUP($A155,데이터입력!$A:$L,8,FALSE)+VLOOKUP($A155,데이터입력!$A:$L,9,FALSE)+VLOOKUP($A155,데이터입력!$A:$L,10,FALSE),"")</f>
        <v/>
      </c>
      <c r="I155" s="181" t="s">
        <v>135</v>
      </c>
      <c r="J155" s="181" t="s">
        <v>135</v>
      </c>
      <c r="K155" s="181" t="s">
        <v>135</v>
      </c>
      <c r="M155" s="182" t="str">
        <f>데이터입력!$AB$8</f>
        <v>00</v>
      </c>
      <c r="N155" s="185" t="str">
        <f>데이터입력!$AC$9</f>
        <v>일반사업[일반]</v>
      </c>
      <c r="O155" s="183" t="str">
        <f>IFERROR(VLOOKUP($A155,#REF!,4,FALSE),"")</f>
        <v/>
      </c>
      <c r="P155" s="183" t="str">
        <f>IFERROR(VLOOKUP($A155,#REF!,5,FALSE),"")</f>
        <v/>
      </c>
      <c r="Q155" s="789" t="str">
        <f>IFERROR(VLOOKUP($A155,#REF!,6,FALSE),"")</f>
        <v/>
      </c>
      <c r="R155" s="183" t="str">
        <f>IFERROR(VLOOKUP($A155,#REF!,7,FALSE),"")</f>
        <v/>
      </c>
      <c r="S155" s="183"/>
      <c r="T155" s="184" t="str">
        <f>IFERROR(VLOOKUP($A155,#REF!,9,FALSE),"")</f>
        <v/>
      </c>
      <c r="U155" s="184" t="str">
        <f>IFERROR(VLOOKUP($A155,#REF!,10,FALSE),"")</f>
        <v/>
      </c>
      <c r="V155" s="184" t="str">
        <f>IFERROR(VLOOKUP($A155,#REF!,11,FALSE),"")</f>
        <v/>
      </c>
      <c r="W155" s="184" t="str">
        <f>IFERROR(VLOOKUP($A155,#REF!,12,FALSE),"")</f>
        <v/>
      </c>
      <c r="X155" s="184" t="str">
        <f>IFERROR(VLOOKUP($A155,#REF!,13,FALSE),"")</f>
        <v/>
      </c>
    </row>
    <row r="156" spans="1:24">
      <c r="A156" s="172">
        <v>154</v>
      </c>
      <c r="B156" s="180" t="str">
        <f>IFERROR(IF(F156="06",데이터입력!$AB$8,IF(F156="07",데이터입력!$AD$8,IF(F156="05",데이터입력!$AF$8,데이터입력!$AB$8))),데이터입력!$AB$8)</f>
        <v>00</v>
      </c>
      <c r="C156" s="584" t="str">
        <f>데이터입력!$AC$9</f>
        <v>일반사업[일반]</v>
      </c>
      <c r="D156" s="185" t="str">
        <f>IFERROR(VLOOKUP($A156,데이터입력!$A:$H,4,FALSE),"")</f>
        <v/>
      </c>
      <c r="E156" s="185" t="str">
        <f>IFERROR(VLOOKUP($A156,데이터입력!$A:$H,2,FALSE),"")</f>
        <v/>
      </c>
      <c r="F156" s="185" t="str">
        <f>IFERROR(VLOOKUP($A156,데이터입력!$A:$H,5,FALSE),"")</f>
        <v/>
      </c>
      <c r="G156" s="185" t="str">
        <f>IFERROR(VLOOKUP($A156,데이터입력!$A:$H,6,FALSE),"")</f>
        <v/>
      </c>
      <c r="H156" s="186" t="str">
        <f>IFERROR(VLOOKUP($A156,데이터입력!$A:$L,8,FALSE)+VLOOKUP($A156,데이터입력!$A:$L,9,FALSE)+VLOOKUP($A156,데이터입력!$A:$L,10,FALSE),"")</f>
        <v/>
      </c>
      <c r="I156" s="181" t="s">
        <v>135</v>
      </c>
      <c r="J156" s="181" t="s">
        <v>135</v>
      </c>
      <c r="K156" s="181" t="s">
        <v>135</v>
      </c>
      <c r="M156" s="182" t="str">
        <f>데이터입력!$AB$8</f>
        <v>00</v>
      </c>
      <c r="N156" s="185" t="str">
        <f>데이터입력!$AC$9</f>
        <v>일반사업[일반]</v>
      </c>
      <c r="O156" s="183" t="str">
        <f>IFERROR(VLOOKUP($A156,#REF!,4,FALSE),"")</f>
        <v/>
      </c>
      <c r="P156" s="183" t="str">
        <f>IFERROR(VLOOKUP($A156,#REF!,5,FALSE),"")</f>
        <v/>
      </c>
      <c r="Q156" s="789" t="str">
        <f>IFERROR(VLOOKUP($A156,#REF!,6,FALSE),"")</f>
        <v/>
      </c>
      <c r="R156" s="183" t="str">
        <f>IFERROR(VLOOKUP($A156,#REF!,7,FALSE),"")</f>
        <v/>
      </c>
      <c r="S156" s="183"/>
      <c r="T156" s="184" t="str">
        <f>IFERROR(VLOOKUP($A156,#REF!,9,FALSE),"")</f>
        <v/>
      </c>
      <c r="U156" s="184" t="str">
        <f>IFERROR(VLOOKUP($A156,#REF!,10,FALSE),"")</f>
        <v/>
      </c>
      <c r="V156" s="184" t="str">
        <f>IFERROR(VLOOKUP($A156,#REF!,11,FALSE),"")</f>
        <v/>
      </c>
      <c r="W156" s="184" t="str">
        <f>IFERROR(VLOOKUP($A156,#REF!,12,FALSE),"")</f>
        <v/>
      </c>
      <c r="X156" s="184" t="str">
        <f>IFERROR(VLOOKUP($A156,#REF!,13,FALSE),"")</f>
        <v/>
      </c>
    </row>
    <row r="157" spans="1:24">
      <c r="A157" s="172">
        <v>155</v>
      </c>
      <c r="B157" s="180" t="str">
        <f>IFERROR(IF(F157="06",데이터입력!$AB$8,IF(F157="07",데이터입력!$AD$8,IF(F157="05",데이터입력!$AF$8,데이터입력!$AB$8))),데이터입력!$AB$8)</f>
        <v>00</v>
      </c>
      <c r="C157" s="584" t="str">
        <f>데이터입력!$AC$9</f>
        <v>일반사업[일반]</v>
      </c>
      <c r="D157" s="185" t="str">
        <f>IFERROR(VLOOKUP($A157,데이터입력!$A:$H,4,FALSE),"")</f>
        <v/>
      </c>
      <c r="E157" s="185" t="str">
        <f>IFERROR(VLOOKUP($A157,데이터입력!$A:$H,2,FALSE),"")</f>
        <v/>
      </c>
      <c r="F157" s="185" t="str">
        <f>IFERROR(VLOOKUP($A157,데이터입력!$A:$H,5,FALSE),"")</f>
        <v/>
      </c>
      <c r="G157" s="185" t="str">
        <f>IFERROR(VLOOKUP($A157,데이터입력!$A:$H,6,FALSE),"")</f>
        <v/>
      </c>
      <c r="H157" s="186" t="str">
        <f>IFERROR(VLOOKUP($A157,데이터입력!$A:$L,8,FALSE)+VLOOKUP($A157,데이터입력!$A:$L,9,FALSE)+VLOOKUP($A157,데이터입력!$A:$L,10,FALSE),"")</f>
        <v/>
      </c>
      <c r="I157" s="181" t="s">
        <v>135</v>
      </c>
      <c r="J157" s="181" t="s">
        <v>135</v>
      </c>
      <c r="K157" s="181" t="s">
        <v>135</v>
      </c>
      <c r="M157" s="182" t="str">
        <f>데이터입력!$AB$8</f>
        <v>00</v>
      </c>
      <c r="N157" s="185" t="str">
        <f>데이터입력!$AC$9</f>
        <v>일반사업[일반]</v>
      </c>
      <c r="O157" s="183" t="str">
        <f>IFERROR(VLOOKUP($A157,#REF!,4,FALSE),"")</f>
        <v/>
      </c>
      <c r="P157" s="183" t="str">
        <f>IFERROR(VLOOKUP($A157,#REF!,5,FALSE),"")</f>
        <v/>
      </c>
      <c r="Q157" s="789" t="str">
        <f>IFERROR(VLOOKUP($A157,#REF!,6,FALSE),"")</f>
        <v/>
      </c>
      <c r="R157" s="183" t="str">
        <f>IFERROR(VLOOKUP($A157,#REF!,7,FALSE),"")</f>
        <v/>
      </c>
      <c r="S157" s="183"/>
      <c r="T157" s="184" t="str">
        <f>IFERROR(VLOOKUP($A157,#REF!,9,FALSE),"")</f>
        <v/>
      </c>
      <c r="U157" s="184" t="str">
        <f>IFERROR(VLOOKUP($A157,#REF!,10,FALSE),"")</f>
        <v/>
      </c>
      <c r="V157" s="184" t="str">
        <f>IFERROR(VLOOKUP($A157,#REF!,11,FALSE),"")</f>
        <v/>
      </c>
      <c r="W157" s="184" t="str">
        <f>IFERROR(VLOOKUP($A157,#REF!,12,FALSE),"")</f>
        <v/>
      </c>
      <c r="X157" s="184" t="str">
        <f>IFERROR(VLOOKUP($A157,#REF!,13,FALSE),"")</f>
        <v/>
      </c>
    </row>
    <row r="158" spans="1:24">
      <c r="A158" s="172">
        <v>156</v>
      </c>
      <c r="B158" s="180" t="str">
        <f>IFERROR(IF(F158="06",데이터입력!$AB$8,IF(F158="07",데이터입력!$AD$8,IF(F158="05",데이터입력!$AF$8,데이터입력!$AB$8))),데이터입력!$AB$8)</f>
        <v>00</v>
      </c>
      <c r="C158" s="584" t="str">
        <f>데이터입력!$AC$9</f>
        <v>일반사업[일반]</v>
      </c>
      <c r="D158" s="185" t="str">
        <f>IFERROR(VLOOKUP($A158,데이터입력!$A:$H,4,FALSE),"")</f>
        <v/>
      </c>
      <c r="E158" s="185" t="str">
        <f>IFERROR(VLOOKUP($A158,데이터입력!$A:$H,2,FALSE),"")</f>
        <v/>
      </c>
      <c r="F158" s="185" t="str">
        <f>IFERROR(VLOOKUP($A158,데이터입력!$A:$H,5,FALSE),"")</f>
        <v/>
      </c>
      <c r="G158" s="185" t="str">
        <f>IFERROR(VLOOKUP($A158,데이터입력!$A:$H,6,FALSE),"")</f>
        <v/>
      </c>
      <c r="H158" s="186" t="str">
        <f>IFERROR(VLOOKUP($A158,데이터입력!$A:$L,8,FALSE)+VLOOKUP($A158,데이터입력!$A:$L,9,FALSE)+VLOOKUP($A158,데이터입력!$A:$L,10,FALSE),"")</f>
        <v/>
      </c>
      <c r="I158" s="181" t="s">
        <v>135</v>
      </c>
      <c r="J158" s="181" t="s">
        <v>135</v>
      </c>
      <c r="K158" s="181" t="s">
        <v>135</v>
      </c>
      <c r="M158" s="182" t="str">
        <f>데이터입력!$AB$8</f>
        <v>00</v>
      </c>
      <c r="N158" s="185" t="str">
        <f>데이터입력!$AC$9</f>
        <v>일반사업[일반]</v>
      </c>
      <c r="O158" s="183" t="str">
        <f>IFERROR(VLOOKUP($A158,#REF!,4,FALSE),"")</f>
        <v/>
      </c>
      <c r="P158" s="183" t="str">
        <f>IFERROR(VLOOKUP($A158,#REF!,5,FALSE),"")</f>
        <v/>
      </c>
      <c r="Q158" s="789" t="str">
        <f>IFERROR(VLOOKUP($A158,#REF!,6,FALSE),"")</f>
        <v/>
      </c>
      <c r="R158" s="183" t="str">
        <f>IFERROR(VLOOKUP($A158,#REF!,7,FALSE),"")</f>
        <v/>
      </c>
      <c r="S158" s="183"/>
      <c r="T158" s="184" t="str">
        <f>IFERROR(VLOOKUP($A158,#REF!,9,FALSE),"")</f>
        <v/>
      </c>
      <c r="U158" s="184" t="str">
        <f>IFERROR(VLOOKUP($A158,#REF!,10,FALSE),"")</f>
        <v/>
      </c>
      <c r="V158" s="184" t="str">
        <f>IFERROR(VLOOKUP($A158,#REF!,11,FALSE),"")</f>
        <v/>
      </c>
      <c r="W158" s="184" t="str">
        <f>IFERROR(VLOOKUP($A158,#REF!,12,FALSE),"")</f>
        <v/>
      </c>
      <c r="X158" s="184" t="str">
        <f>IFERROR(VLOOKUP($A158,#REF!,13,FALSE),"")</f>
        <v/>
      </c>
    </row>
    <row r="159" spans="1:24">
      <c r="A159" s="172">
        <v>157</v>
      </c>
      <c r="B159" s="180" t="str">
        <f>IFERROR(IF(F159="06",데이터입력!$AB$8,IF(F159="07",데이터입력!$AD$8,IF(F159="05",데이터입력!$AF$8,데이터입력!$AB$8))),데이터입력!$AB$8)</f>
        <v>00</v>
      </c>
      <c r="C159" s="584" t="str">
        <f>데이터입력!$AC$9</f>
        <v>일반사업[일반]</v>
      </c>
      <c r="D159" s="185" t="str">
        <f>IFERROR(VLOOKUP($A159,데이터입력!$A:$H,4,FALSE),"")</f>
        <v/>
      </c>
      <c r="E159" s="185" t="str">
        <f>IFERROR(VLOOKUP($A159,데이터입력!$A:$H,2,FALSE),"")</f>
        <v/>
      </c>
      <c r="F159" s="185" t="str">
        <f>IFERROR(VLOOKUP($A159,데이터입력!$A:$H,5,FALSE),"")</f>
        <v/>
      </c>
      <c r="G159" s="185" t="str">
        <f>IFERROR(VLOOKUP($A159,데이터입력!$A:$H,6,FALSE),"")</f>
        <v/>
      </c>
      <c r="H159" s="186" t="str">
        <f>IFERROR(VLOOKUP($A159,데이터입력!$A:$L,8,FALSE)+VLOOKUP($A159,데이터입력!$A:$L,9,FALSE)+VLOOKUP($A159,데이터입력!$A:$L,10,FALSE),"")</f>
        <v/>
      </c>
      <c r="I159" s="181" t="s">
        <v>135</v>
      </c>
      <c r="J159" s="181" t="s">
        <v>135</v>
      </c>
      <c r="K159" s="181" t="s">
        <v>135</v>
      </c>
      <c r="M159" s="182" t="str">
        <f>데이터입력!$AB$8</f>
        <v>00</v>
      </c>
      <c r="N159" s="185" t="str">
        <f>데이터입력!$AC$9</f>
        <v>일반사업[일반]</v>
      </c>
      <c r="O159" s="183" t="str">
        <f>IFERROR(VLOOKUP($A159,#REF!,4,FALSE),"")</f>
        <v/>
      </c>
      <c r="P159" s="183" t="str">
        <f>IFERROR(VLOOKUP($A159,#REF!,5,FALSE),"")</f>
        <v/>
      </c>
      <c r="Q159" s="789" t="str">
        <f>IFERROR(VLOOKUP($A159,#REF!,6,FALSE),"")</f>
        <v/>
      </c>
      <c r="R159" s="183" t="str">
        <f>IFERROR(VLOOKUP($A159,#REF!,7,FALSE),"")</f>
        <v/>
      </c>
      <c r="S159" s="183"/>
      <c r="T159" s="184" t="str">
        <f>IFERROR(VLOOKUP($A159,#REF!,9,FALSE),"")</f>
        <v/>
      </c>
      <c r="U159" s="184" t="str">
        <f>IFERROR(VLOOKUP($A159,#REF!,10,FALSE),"")</f>
        <v/>
      </c>
      <c r="V159" s="184" t="str">
        <f>IFERROR(VLOOKUP($A159,#REF!,11,FALSE),"")</f>
        <v/>
      </c>
      <c r="W159" s="184" t="str">
        <f>IFERROR(VLOOKUP($A159,#REF!,12,FALSE),"")</f>
        <v/>
      </c>
      <c r="X159" s="184" t="str">
        <f>IFERROR(VLOOKUP($A159,#REF!,13,FALSE),"")</f>
        <v/>
      </c>
    </row>
    <row r="160" spans="1:24">
      <c r="A160" s="172">
        <v>158</v>
      </c>
      <c r="B160" s="180" t="str">
        <f>IFERROR(IF(F160="06",데이터입력!$AB$8,IF(F160="07",데이터입력!$AD$8,IF(F160="05",데이터입력!$AF$8,데이터입력!$AB$8))),데이터입력!$AB$8)</f>
        <v>00</v>
      </c>
      <c r="C160" s="584" t="str">
        <f>데이터입력!$AC$9</f>
        <v>일반사업[일반]</v>
      </c>
      <c r="D160" s="185" t="str">
        <f>IFERROR(VLOOKUP($A160,데이터입력!$A:$H,4,FALSE),"")</f>
        <v/>
      </c>
      <c r="E160" s="185" t="str">
        <f>IFERROR(VLOOKUP($A160,데이터입력!$A:$H,2,FALSE),"")</f>
        <v/>
      </c>
      <c r="F160" s="185" t="str">
        <f>IFERROR(VLOOKUP($A160,데이터입력!$A:$H,5,FALSE),"")</f>
        <v/>
      </c>
      <c r="G160" s="185" t="str">
        <f>IFERROR(VLOOKUP($A160,데이터입력!$A:$H,6,FALSE),"")</f>
        <v/>
      </c>
      <c r="H160" s="186" t="str">
        <f>IFERROR(VLOOKUP($A160,데이터입력!$A:$L,8,FALSE)+VLOOKUP($A160,데이터입력!$A:$L,9,FALSE)+VLOOKUP($A160,데이터입력!$A:$L,10,FALSE),"")</f>
        <v/>
      </c>
      <c r="I160" s="181" t="s">
        <v>135</v>
      </c>
      <c r="J160" s="181" t="s">
        <v>135</v>
      </c>
      <c r="K160" s="181" t="s">
        <v>135</v>
      </c>
      <c r="M160" s="182" t="str">
        <f>데이터입력!$AB$8</f>
        <v>00</v>
      </c>
      <c r="N160" s="185" t="str">
        <f>데이터입력!$AC$9</f>
        <v>일반사업[일반]</v>
      </c>
      <c r="O160" s="183" t="str">
        <f>IFERROR(VLOOKUP($A160,#REF!,4,FALSE),"")</f>
        <v/>
      </c>
      <c r="P160" s="183" t="str">
        <f>IFERROR(VLOOKUP($A160,#REF!,5,FALSE),"")</f>
        <v/>
      </c>
      <c r="Q160" s="789" t="str">
        <f>IFERROR(VLOOKUP($A160,#REF!,6,FALSE),"")</f>
        <v/>
      </c>
      <c r="R160" s="183" t="str">
        <f>IFERROR(VLOOKUP($A160,#REF!,7,FALSE),"")</f>
        <v/>
      </c>
      <c r="S160" s="183"/>
      <c r="T160" s="184" t="str">
        <f>IFERROR(VLOOKUP($A160,#REF!,9,FALSE),"")</f>
        <v/>
      </c>
      <c r="U160" s="184" t="str">
        <f>IFERROR(VLOOKUP($A160,#REF!,10,FALSE),"")</f>
        <v/>
      </c>
      <c r="V160" s="184" t="str">
        <f>IFERROR(VLOOKUP($A160,#REF!,11,FALSE),"")</f>
        <v/>
      </c>
      <c r="W160" s="184" t="str">
        <f>IFERROR(VLOOKUP($A160,#REF!,12,FALSE),"")</f>
        <v/>
      </c>
      <c r="X160" s="184" t="str">
        <f>IFERROR(VLOOKUP($A160,#REF!,13,FALSE),"")</f>
        <v/>
      </c>
    </row>
    <row r="161" spans="1:24">
      <c r="A161" s="172">
        <v>159</v>
      </c>
      <c r="B161" s="180" t="str">
        <f>IFERROR(IF(F161="06",데이터입력!$AB$8,IF(F161="07",데이터입력!$AD$8,IF(F161="05",데이터입력!$AF$8,데이터입력!$AB$8))),데이터입력!$AB$8)</f>
        <v>00</v>
      </c>
      <c r="C161" s="584" t="str">
        <f>데이터입력!$AC$9</f>
        <v>일반사업[일반]</v>
      </c>
      <c r="D161" s="185" t="str">
        <f>IFERROR(VLOOKUP($A161,데이터입력!$A:$H,4,FALSE),"")</f>
        <v/>
      </c>
      <c r="E161" s="185" t="str">
        <f>IFERROR(VLOOKUP($A161,데이터입력!$A:$H,2,FALSE),"")</f>
        <v/>
      </c>
      <c r="F161" s="185" t="str">
        <f>IFERROR(VLOOKUP($A161,데이터입력!$A:$H,5,FALSE),"")</f>
        <v/>
      </c>
      <c r="G161" s="185" t="str">
        <f>IFERROR(VLOOKUP($A161,데이터입력!$A:$H,6,FALSE),"")</f>
        <v/>
      </c>
      <c r="H161" s="186" t="str">
        <f>IFERROR(VLOOKUP($A161,데이터입력!$A:$L,8,FALSE)+VLOOKUP($A161,데이터입력!$A:$L,9,FALSE)+VLOOKUP($A161,데이터입력!$A:$L,10,FALSE),"")</f>
        <v/>
      </c>
      <c r="I161" s="181" t="s">
        <v>135</v>
      </c>
      <c r="J161" s="181" t="s">
        <v>135</v>
      </c>
      <c r="K161" s="181" t="s">
        <v>135</v>
      </c>
      <c r="M161" s="182" t="str">
        <f>데이터입력!$AB$8</f>
        <v>00</v>
      </c>
      <c r="N161" s="185" t="str">
        <f>데이터입력!$AC$9</f>
        <v>일반사업[일반]</v>
      </c>
      <c r="O161" s="183" t="str">
        <f>IFERROR(VLOOKUP($A161,#REF!,4,FALSE),"")</f>
        <v/>
      </c>
      <c r="P161" s="183" t="str">
        <f>IFERROR(VLOOKUP($A161,#REF!,5,FALSE),"")</f>
        <v/>
      </c>
      <c r="Q161" s="789" t="str">
        <f>IFERROR(VLOOKUP($A161,#REF!,6,FALSE),"")</f>
        <v/>
      </c>
      <c r="R161" s="183" t="str">
        <f>IFERROR(VLOOKUP($A161,#REF!,7,FALSE),"")</f>
        <v/>
      </c>
      <c r="S161" s="183"/>
      <c r="T161" s="184" t="str">
        <f>IFERROR(VLOOKUP($A161,#REF!,9,FALSE),"")</f>
        <v/>
      </c>
      <c r="U161" s="184" t="str">
        <f>IFERROR(VLOOKUP($A161,#REF!,10,FALSE),"")</f>
        <v/>
      </c>
      <c r="V161" s="184" t="str">
        <f>IFERROR(VLOOKUP($A161,#REF!,11,FALSE),"")</f>
        <v/>
      </c>
      <c r="W161" s="184" t="str">
        <f>IFERROR(VLOOKUP($A161,#REF!,12,FALSE),"")</f>
        <v/>
      </c>
      <c r="X161" s="184" t="str">
        <f>IFERROR(VLOOKUP($A161,#REF!,13,FALSE),"")</f>
        <v/>
      </c>
    </row>
    <row r="162" spans="1:24">
      <c r="A162" s="172">
        <v>160</v>
      </c>
      <c r="B162" s="180" t="str">
        <f>IFERROR(IF(F162="06",데이터입력!$AB$8,IF(F162="07",데이터입력!$AD$8,IF(F162="05",데이터입력!$AF$8,데이터입력!$AB$8))),데이터입력!$AB$8)</f>
        <v>00</v>
      </c>
      <c r="C162" s="584" t="str">
        <f>데이터입력!$AC$9</f>
        <v>일반사업[일반]</v>
      </c>
      <c r="D162" s="185" t="str">
        <f>IFERROR(VLOOKUP($A162,데이터입력!$A:$H,4,FALSE),"")</f>
        <v/>
      </c>
      <c r="E162" s="185" t="str">
        <f>IFERROR(VLOOKUP($A162,데이터입력!$A:$H,2,FALSE),"")</f>
        <v/>
      </c>
      <c r="F162" s="185" t="str">
        <f>IFERROR(VLOOKUP($A162,데이터입력!$A:$H,5,FALSE),"")</f>
        <v/>
      </c>
      <c r="G162" s="185" t="str">
        <f>IFERROR(VLOOKUP($A162,데이터입력!$A:$H,6,FALSE),"")</f>
        <v/>
      </c>
      <c r="H162" s="186" t="str">
        <f>IFERROR(VLOOKUP($A162,데이터입력!$A:$L,8,FALSE)+VLOOKUP($A162,데이터입력!$A:$L,9,FALSE)+VLOOKUP($A162,데이터입력!$A:$L,10,FALSE),"")</f>
        <v/>
      </c>
      <c r="I162" s="181" t="s">
        <v>135</v>
      </c>
      <c r="J162" s="181" t="s">
        <v>135</v>
      </c>
      <c r="K162" s="181" t="s">
        <v>135</v>
      </c>
      <c r="M162" s="182" t="str">
        <f>데이터입력!$AB$8</f>
        <v>00</v>
      </c>
      <c r="N162" s="185" t="str">
        <f>데이터입력!$AC$9</f>
        <v>일반사업[일반]</v>
      </c>
      <c r="O162" s="183" t="str">
        <f>IFERROR(VLOOKUP($A162,#REF!,4,FALSE),"")</f>
        <v/>
      </c>
      <c r="P162" s="183" t="str">
        <f>IFERROR(VLOOKUP($A162,#REF!,5,FALSE),"")</f>
        <v/>
      </c>
      <c r="Q162" s="789" t="str">
        <f>IFERROR(VLOOKUP($A162,#REF!,6,FALSE),"")</f>
        <v/>
      </c>
      <c r="R162" s="183" t="str">
        <f>IFERROR(VLOOKUP($A162,#REF!,7,FALSE),"")</f>
        <v/>
      </c>
      <c r="S162" s="183"/>
      <c r="T162" s="184" t="str">
        <f>IFERROR(VLOOKUP($A162,#REF!,9,FALSE),"")</f>
        <v/>
      </c>
      <c r="U162" s="184" t="str">
        <f>IFERROR(VLOOKUP($A162,#REF!,10,FALSE),"")</f>
        <v/>
      </c>
      <c r="V162" s="184" t="str">
        <f>IFERROR(VLOOKUP($A162,#REF!,11,FALSE),"")</f>
        <v/>
      </c>
      <c r="W162" s="184" t="str">
        <f>IFERROR(VLOOKUP($A162,#REF!,12,FALSE),"")</f>
        <v/>
      </c>
      <c r="X162" s="184" t="str">
        <f>IFERROR(VLOOKUP($A162,#REF!,13,FALSE),"")</f>
        <v/>
      </c>
    </row>
    <row r="163" spans="1:24">
      <c r="A163" s="172">
        <v>161</v>
      </c>
      <c r="B163" s="180" t="str">
        <f>IFERROR(IF(F163="06",데이터입력!$AB$8,IF(F163="07",데이터입력!$AD$8,IF(F163="05",데이터입력!$AF$8,데이터입력!$AB$8))),데이터입력!$AB$8)</f>
        <v>00</v>
      </c>
      <c r="C163" s="584" t="str">
        <f>데이터입력!$AC$9</f>
        <v>일반사업[일반]</v>
      </c>
      <c r="D163" s="185" t="str">
        <f>IFERROR(VLOOKUP($A163,데이터입력!$A:$H,4,FALSE),"")</f>
        <v/>
      </c>
      <c r="E163" s="185" t="str">
        <f>IFERROR(VLOOKUP($A163,데이터입력!$A:$H,2,FALSE),"")</f>
        <v/>
      </c>
      <c r="F163" s="185" t="str">
        <f>IFERROR(VLOOKUP($A163,데이터입력!$A:$H,5,FALSE),"")</f>
        <v/>
      </c>
      <c r="G163" s="185" t="str">
        <f>IFERROR(VLOOKUP($A163,데이터입력!$A:$H,6,FALSE),"")</f>
        <v/>
      </c>
      <c r="H163" s="186" t="str">
        <f>IFERROR(VLOOKUP($A163,데이터입력!$A:$L,8,FALSE)+VLOOKUP($A163,데이터입력!$A:$L,9,FALSE)+VLOOKUP($A163,데이터입력!$A:$L,10,FALSE),"")</f>
        <v/>
      </c>
      <c r="I163" s="181" t="s">
        <v>135</v>
      </c>
      <c r="J163" s="181" t="s">
        <v>135</v>
      </c>
      <c r="K163" s="181" t="s">
        <v>135</v>
      </c>
      <c r="M163" s="182" t="str">
        <f>데이터입력!$AB$8</f>
        <v>00</v>
      </c>
      <c r="N163" s="185" t="str">
        <f>데이터입력!$AC$9</f>
        <v>일반사업[일반]</v>
      </c>
      <c r="O163" s="183" t="str">
        <f>IFERROR(VLOOKUP($A163,#REF!,4,FALSE),"")</f>
        <v/>
      </c>
      <c r="P163" s="183" t="str">
        <f>IFERROR(VLOOKUP($A163,#REF!,5,FALSE),"")</f>
        <v/>
      </c>
      <c r="Q163" s="789" t="str">
        <f>IFERROR(VLOOKUP($A163,#REF!,6,FALSE),"")</f>
        <v/>
      </c>
      <c r="R163" s="183" t="str">
        <f>IFERROR(VLOOKUP($A163,#REF!,7,FALSE),"")</f>
        <v/>
      </c>
      <c r="S163" s="183"/>
      <c r="T163" s="184" t="str">
        <f>IFERROR(VLOOKUP($A163,#REF!,9,FALSE),"")</f>
        <v/>
      </c>
      <c r="U163" s="184" t="str">
        <f>IFERROR(VLOOKUP($A163,#REF!,10,FALSE),"")</f>
        <v/>
      </c>
      <c r="V163" s="184" t="str">
        <f>IFERROR(VLOOKUP($A163,#REF!,11,FALSE),"")</f>
        <v/>
      </c>
      <c r="W163" s="184" t="str">
        <f>IFERROR(VLOOKUP($A163,#REF!,12,FALSE),"")</f>
        <v/>
      </c>
      <c r="X163" s="184" t="str">
        <f>IFERROR(VLOOKUP($A163,#REF!,13,FALSE),"")</f>
        <v/>
      </c>
    </row>
    <row r="164" spans="1:24">
      <c r="A164" s="172">
        <v>162</v>
      </c>
      <c r="B164" s="180" t="str">
        <f>IFERROR(IF(F164="06",데이터입력!$AB$8,IF(F164="07",데이터입력!$AD$8,IF(F164="05",데이터입력!$AF$8,데이터입력!$AB$8))),데이터입력!$AB$8)</f>
        <v>00</v>
      </c>
      <c r="C164" s="584" t="str">
        <f>데이터입력!$AC$9</f>
        <v>일반사업[일반]</v>
      </c>
      <c r="D164" s="185" t="str">
        <f>IFERROR(VLOOKUP($A164,데이터입력!$A:$H,4,FALSE),"")</f>
        <v/>
      </c>
      <c r="E164" s="185" t="str">
        <f>IFERROR(VLOOKUP($A164,데이터입력!$A:$H,2,FALSE),"")</f>
        <v/>
      </c>
      <c r="F164" s="185" t="str">
        <f>IFERROR(VLOOKUP($A164,데이터입력!$A:$H,5,FALSE),"")</f>
        <v/>
      </c>
      <c r="G164" s="185" t="str">
        <f>IFERROR(VLOOKUP($A164,데이터입력!$A:$H,6,FALSE),"")</f>
        <v/>
      </c>
      <c r="H164" s="186" t="str">
        <f>IFERROR(VLOOKUP($A164,데이터입력!$A:$L,8,FALSE)+VLOOKUP($A164,데이터입력!$A:$L,9,FALSE)+VLOOKUP($A164,데이터입력!$A:$L,10,FALSE),"")</f>
        <v/>
      </c>
      <c r="I164" s="181" t="s">
        <v>135</v>
      </c>
      <c r="J164" s="181" t="s">
        <v>135</v>
      </c>
      <c r="K164" s="181" t="s">
        <v>135</v>
      </c>
      <c r="M164" s="182" t="str">
        <f>데이터입력!$AB$8</f>
        <v>00</v>
      </c>
      <c r="N164" s="185" t="str">
        <f>데이터입력!$AC$9</f>
        <v>일반사업[일반]</v>
      </c>
      <c r="O164" s="183" t="str">
        <f>IFERROR(VLOOKUP($A164,#REF!,4,FALSE),"")</f>
        <v/>
      </c>
      <c r="P164" s="183" t="str">
        <f>IFERROR(VLOOKUP($A164,#REF!,5,FALSE),"")</f>
        <v/>
      </c>
      <c r="Q164" s="789" t="str">
        <f>IFERROR(VLOOKUP($A164,#REF!,6,FALSE),"")</f>
        <v/>
      </c>
      <c r="R164" s="183" t="str">
        <f>IFERROR(VLOOKUP($A164,#REF!,7,FALSE),"")</f>
        <v/>
      </c>
      <c r="S164" s="183"/>
      <c r="T164" s="184" t="str">
        <f>IFERROR(VLOOKUP($A164,#REF!,9,FALSE),"")</f>
        <v/>
      </c>
      <c r="U164" s="184" t="str">
        <f>IFERROR(VLOOKUP($A164,#REF!,10,FALSE),"")</f>
        <v/>
      </c>
      <c r="V164" s="184" t="str">
        <f>IFERROR(VLOOKUP($A164,#REF!,11,FALSE),"")</f>
        <v/>
      </c>
      <c r="W164" s="184" t="str">
        <f>IFERROR(VLOOKUP($A164,#REF!,12,FALSE),"")</f>
        <v/>
      </c>
      <c r="X164" s="184" t="str">
        <f>IFERROR(VLOOKUP($A164,#REF!,13,FALSE),"")</f>
        <v/>
      </c>
    </row>
    <row r="165" spans="1:24">
      <c r="A165" s="172">
        <v>163</v>
      </c>
      <c r="M165" s="182" t="str">
        <f>데이터입력!$AB$8</f>
        <v>00</v>
      </c>
      <c r="N165" s="185" t="str">
        <f>데이터입력!$AC$9</f>
        <v>일반사업[일반]</v>
      </c>
      <c r="O165" s="183" t="str">
        <f>IFERROR(VLOOKUP($A165,#REF!,4,FALSE),"")</f>
        <v/>
      </c>
      <c r="P165" s="183" t="str">
        <f>IFERROR(VLOOKUP($A165,#REF!,5,FALSE),"")</f>
        <v/>
      </c>
      <c r="Q165" s="789" t="str">
        <f>IFERROR(VLOOKUP($A165,#REF!,6,FALSE),"")</f>
        <v/>
      </c>
      <c r="R165" s="183" t="str">
        <f>IFERROR(VLOOKUP($A165,#REF!,7,FALSE),"")</f>
        <v/>
      </c>
      <c r="S165" s="183"/>
      <c r="T165" s="184" t="str">
        <f>IFERROR(VLOOKUP($A165,#REF!,9,FALSE),"")</f>
        <v/>
      </c>
      <c r="U165" s="184" t="str">
        <f>IFERROR(VLOOKUP($A165,#REF!,10,FALSE),"")</f>
        <v/>
      </c>
      <c r="V165" s="184" t="str">
        <f>IFERROR(VLOOKUP($A165,#REF!,11,FALSE),"")</f>
        <v/>
      </c>
      <c r="W165" s="184" t="str">
        <f>IFERROR(VLOOKUP($A165,#REF!,12,FALSE),"")</f>
        <v/>
      </c>
      <c r="X165" s="184" t="str">
        <f>IFERROR(VLOOKUP($A165,#REF!,13,FALSE),"")</f>
        <v/>
      </c>
    </row>
    <row r="166" spans="1:24">
      <c r="A166" s="172">
        <v>164</v>
      </c>
      <c r="M166" s="182" t="str">
        <f>데이터입력!$AB$8</f>
        <v>00</v>
      </c>
      <c r="N166" s="185" t="str">
        <f>데이터입력!$AC$9</f>
        <v>일반사업[일반]</v>
      </c>
      <c r="O166" s="183" t="str">
        <f>IFERROR(VLOOKUP($A166,#REF!,4,FALSE),"")</f>
        <v/>
      </c>
      <c r="P166" s="183" t="str">
        <f>IFERROR(VLOOKUP($A166,#REF!,5,FALSE),"")</f>
        <v/>
      </c>
      <c r="Q166" s="789" t="str">
        <f>IFERROR(VLOOKUP($A166,#REF!,6,FALSE),"")</f>
        <v/>
      </c>
      <c r="R166" s="183" t="str">
        <f>IFERROR(VLOOKUP($A166,#REF!,7,FALSE),"")</f>
        <v/>
      </c>
      <c r="S166" s="183"/>
      <c r="T166" s="184" t="str">
        <f>IFERROR(VLOOKUP($A166,#REF!,9,FALSE),"")</f>
        <v/>
      </c>
      <c r="U166" s="184" t="str">
        <f>IFERROR(VLOOKUP($A166,#REF!,10,FALSE),"")</f>
        <v/>
      </c>
      <c r="V166" s="184" t="str">
        <f>IFERROR(VLOOKUP($A166,#REF!,11,FALSE),"")</f>
        <v/>
      </c>
      <c r="W166" s="184" t="str">
        <f>IFERROR(VLOOKUP($A166,#REF!,12,FALSE),"")</f>
        <v/>
      </c>
      <c r="X166" s="184" t="str">
        <f>IFERROR(VLOOKUP($A166,#REF!,13,FALSE),"")</f>
        <v/>
      </c>
    </row>
    <row r="167" spans="1:24">
      <c r="A167" s="172">
        <v>165</v>
      </c>
      <c r="M167" s="182" t="str">
        <f>데이터입력!$AB$8</f>
        <v>00</v>
      </c>
      <c r="N167" s="185" t="str">
        <f>데이터입력!$AC$9</f>
        <v>일반사업[일반]</v>
      </c>
      <c r="O167" s="183" t="str">
        <f>IFERROR(VLOOKUP($A167,#REF!,4,FALSE),"")</f>
        <v/>
      </c>
      <c r="P167" s="183" t="str">
        <f>IFERROR(VLOOKUP($A167,#REF!,5,FALSE),"")</f>
        <v/>
      </c>
      <c r="Q167" s="789" t="str">
        <f>IFERROR(VLOOKUP($A167,#REF!,6,FALSE),"")</f>
        <v/>
      </c>
      <c r="R167" s="183" t="str">
        <f>IFERROR(VLOOKUP($A167,#REF!,7,FALSE),"")</f>
        <v/>
      </c>
      <c r="S167" s="183"/>
      <c r="T167" s="184" t="str">
        <f>IFERROR(VLOOKUP($A167,#REF!,9,FALSE),"")</f>
        <v/>
      </c>
      <c r="U167" s="184" t="str">
        <f>IFERROR(VLOOKUP($A167,#REF!,10,FALSE),"")</f>
        <v/>
      </c>
      <c r="V167" s="184" t="str">
        <f>IFERROR(VLOOKUP($A167,#REF!,11,FALSE),"")</f>
        <v/>
      </c>
      <c r="W167" s="184" t="str">
        <f>IFERROR(VLOOKUP($A167,#REF!,12,FALSE),"")</f>
        <v/>
      </c>
      <c r="X167" s="184" t="str">
        <f>IFERROR(VLOOKUP($A167,#REF!,13,FALSE),"")</f>
        <v/>
      </c>
    </row>
    <row r="168" spans="1:24">
      <c r="A168" s="172">
        <v>166</v>
      </c>
      <c r="M168" s="182" t="str">
        <f>데이터입력!$AB$8</f>
        <v>00</v>
      </c>
      <c r="N168" s="185" t="str">
        <f>데이터입력!$AC$9</f>
        <v>일반사업[일반]</v>
      </c>
      <c r="O168" s="183" t="str">
        <f>IFERROR(VLOOKUP($A168,#REF!,4,FALSE),"")</f>
        <v/>
      </c>
      <c r="P168" s="183" t="str">
        <f>IFERROR(VLOOKUP($A168,#REF!,5,FALSE),"")</f>
        <v/>
      </c>
      <c r="Q168" s="789" t="str">
        <f>IFERROR(VLOOKUP($A168,#REF!,6,FALSE),"")</f>
        <v/>
      </c>
      <c r="R168" s="183" t="str">
        <f>IFERROR(VLOOKUP($A168,#REF!,7,FALSE),"")</f>
        <v/>
      </c>
      <c r="S168" s="183"/>
      <c r="T168" s="184" t="str">
        <f>IFERROR(VLOOKUP($A168,#REF!,9,FALSE),"")</f>
        <v/>
      </c>
      <c r="U168" s="184" t="str">
        <f>IFERROR(VLOOKUP($A168,#REF!,10,FALSE),"")</f>
        <v/>
      </c>
      <c r="V168" s="184" t="str">
        <f>IFERROR(VLOOKUP($A168,#REF!,11,FALSE),"")</f>
        <v/>
      </c>
      <c r="W168" s="184" t="str">
        <f>IFERROR(VLOOKUP($A168,#REF!,12,FALSE),"")</f>
        <v/>
      </c>
      <c r="X168" s="184" t="str">
        <f>IFERROR(VLOOKUP($A168,#REF!,13,FALSE),"")</f>
        <v/>
      </c>
    </row>
    <row r="169" spans="1:24">
      <c r="A169" s="172">
        <v>167</v>
      </c>
      <c r="M169" s="182" t="str">
        <f>데이터입력!$AB$8</f>
        <v>00</v>
      </c>
      <c r="N169" s="185" t="str">
        <f>데이터입력!$AC$9</f>
        <v>일반사업[일반]</v>
      </c>
      <c r="O169" s="183" t="str">
        <f>IFERROR(VLOOKUP($A169,#REF!,4,FALSE),"")</f>
        <v/>
      </c>
      <c r="P169" s="183" t="str">
        <f>IFERROR(VLOOKUP($A169,#REF!,5,FALSE),"")</f>
        <v/>
      </c>
      <c r="Q169" s="789" t="str">
        <f>IFERROR(VLOOKUP($A169,#REF!,6,FALSE),"")</f>
        <v/>
      </c>
      <c r="R169" s="183" t="str">
        <f>IFERROR(VLOOKUP($A169,#REF!,7,FALSE),"")</f>
        <v/>
      </c>
      <c r="S169" s="183"/>
      <c r="T169" s="184" t="str">
        <f>IFERROR(VLOOKUP($A169,#REF!,9,FALSE),"")</f>
        <v/>
      </c>
      <c r="U169" s="184" t="str">
        <f>IFERROR(VLOOKUP($A169,#REF!,10,FALSE),"")</f>
        <v/>
      </c>
      <c r="V169" s="184" t="str">
        <f>IFERROR(VLOOKUP($A169,#REF!,11,FALSE),"")</f>
        <v/>
      </c>
      <c r="W169" s="184" t="str">
        <f>IFERROR(VLOOKUP($A169,#REF!,12,FALSE),"")</f>
        <v/>
      </c>
      <c r="X169" s="184" t="str">
        <f>IFERROR(VLOOKUP($A169,#REF!,13,FALSE),"")</f>
        <v/>
      </c>
    </row>
    <row r="170" spans="1:24">
      <c r="A170" s="172">
        <v>168</v>
      </c>
      <c r="M170" s="182" t="str">
        <f>데이터입력!$AB$8</f>
        <v>00</v>
      </c>
      <c r="N170" s="185" t="str">
        <f>데이터입력!$AC$9</f>
        <v>일반사업[일반]</v>
      </c>
      <c r="O170" s="183" t="str">
        <f>IFERROR(VLOOKUP($A170,#REF!,4,FALSE),"")</f>
        <v/>
      </c>
      <c r="P170" s="183" t="str">
        <f>IFERROR(VLOOKUP($A170,#REF!,5,FALSE),"")</f>
        <v/>
      </c>
      <c r="Q170" s="789" t="str">
        <f>IFERROR(VLOOKUP($A170,#REF!,6,FALSE),"")</f>
        <v/>
      </c>
      <c r="R170" s="183" t="str">
        <f>IFERROR(VLOOKUP($A170,#REF!,7,FALSE),"")</f>
        <v/>
      </c>
      <c r="S170" s="183"/>
      <c r="T170" s="184" t="str">
        <f>IFERROR(VLOOKUP($A170,#REF!,9,FALSE),"")</f>
        <v/>
      </c>
      <c r="U170" s="184" t="str">
        <f>IFERROR(VLOOKUP($A170,#REF!,10,FALSE),"")</f>
        <v/>
      </c>
      <c r="V170" s="184" t="str">
        <f>IFERROR(VLOOKUP($A170,#REF!,11,FALSE),"")</f>
        <v/>
      </c>
      <c r="W170" s="184" t="str">
        <f>IFERROR(VLOOKUP($A170,#REF!,12,FALSE),"")</f>
        <v/>
      </c>
      <c r="X170" s="184" t="str">
        <f>IFERROR(VLOOKUP($A170,#REF!,13,FALSE),"")</f>
        <v/>
      </c>
    </row>
    <row r="171" spans="1:24">
      <c r="A171" s="172">
        <v>169</v>
      </c>
      <c r="M171" s="182" t="str">
        <f>데이터입력!$AB$8</f>
        <v>00</v>
      </c>
      <c r="N171" s="185" t="str">
        <f>데이터입력!$AC$9</f>
        <v>일반사업[일반]</v>
      </c>
      <c r="O171" s="183" t="str">
        <f>IFERROR(VLOOKUP($A171,#REF!,4,FALSE),"")</f>
        <v/>
      </c>
      <c r="P171" s="183" t="str">
        <f>IFERROR(VLOOKUP($A171,#REF!,5,FALSE),"")</f>
        <v/>
      </c>
      <c r="Q171" s="789" t="str">
        <f>IFERROR(VLOOKUP($A171,#REF!,6,FALSE),"")</f>
        <v/>
      </c>
      <c r="R171" s="183" t="str">
        <f>IFERROR(VLOOKUP($A171,#REF!,7,FALSE),"")</f>
        <v/>
      </c>
      <c r="S171" s="183"/>
      <c r="T171" s="184" t="str">
        <f>IFERROR(VLOOKUP($A171,#REF!,9,FALSE),"")</f>
        <v/>
      </c>
      <c r="U171" s="184" t="str">
        <f>IFERROR(VLOOKUP($A171,#REF!,10,FALSE),"")</f>
        <v/>
      </c>
      <c r="V171" s="184" t="str">
        <f>IFERROR(VLOOKUP($A171,#REF!,11,FALSE),"")</f>
        <v/>
      </c>
      <c r="W171" s="184" t="str">
        <f>IFERROR(VLOOKUP($A171,#REF!,12,FALSE),"")</f>
        <v/>
      </c>
      <c r="X171" s="184" t="str">
        <f>IFERROR(VLOOKUP($A171,#REF!,13,FALSE),"")</f>
        <v/>
      </c>
    </row>
    <row r="172" spans="1:24">
      <c r="A172" s="172">
        <v>170</v>
      </c>
      <c r="M172" s="182" t="str">
        <f>데이터입력!$AB$8</f>
        <v>00</v>
      </c>
      <c r="N172" s="185" t="str">
        <f>데이터입력!$AC$9</f>
        <v>일반사업[일반]</v>
      </c>
      <c r="O172" s="183" t="str">
        <f>IFERROR(VLOOKUP($A172,#REF!,4,FALSE),"")</f>
        <v/>
      </c>
      <c r="P172" s="183" t="str">
        <f>IFERROR(VLOOKUP($A172,#REF!,5,FALSE),"")</f>
        <v/>
      </c>
      <c r="Q172" s="789" t="str">
        <f>IFERROR(VLOOKUP($A172,#REF!,6,FALSE),"")</f>
        <v/>
      </c>
      <c r="R172" s="183" t="str">
        <f>IFERROR(VLOOKUP($A172,#REF!,7,FALSE),"")</f>
        <v/>
      </c>
      <c r="S172" s="183"/>
      <c r="T172" s="184" t="str">
        <f>IFERROR(VLOOKUP($A172,#REF!,9,FALSE),"")</f>
        <v/>
      </c>
      <c r="U172" s="184" t="str">
        <f>IFERROR(VLOOKUP($A172,#REF!,10,FALSE),"")</f>
        <v/>
      </c>
      <c r="V172" s="184" t="str">
        <f>IFERROR(VLOOKUP($A172,#REF!,11,FALSE),"")</f>
        <v/>
      </c>
      <c r="W172" s="184" t="str">
        <f>IFERROR(VLOOKUP($A172,#REF!,12,FALSE),"")</f>
        <v/>
      </c>
      <c r="X172" s="184" t="str">
        <f>IFERROR(VLOOKUP($A172,#REF!,13,FALSE),"")</f>
        <v/>
      </c>
    </row>
    <row r="173" spans="1:24">
      <c r="A173" s="172">
        <v>171</v>
      </c>
      <c r="M173" s="182" t="str">
        <f>데이터입력!$AB$8</f>
        <v>00</v>
      </c>
      <c r="N173" s="185" t="str">
        <f>데이터입력!$AC$9</f>
        <v>일반사업[일반]</v>
      </c>
      <c r="O173" s="183" t="str">
        <f>IFERROR(VLOOKUP($A173,#REF!,4,FALSE),"")</f>
        <v/>
      </c>
      <c r="P173" s="183" t="str">
        <f>IFERROR(VLOOKUP($A173,#REF!,5,FALSE),"")</f>
        <v/>
      </c>
      <c r="Q173" s="789" t="str">
        <f>IFERROR(VLOOKUP($A173,#REF!,6,FALSE),"")</f>
        <v/>
      </c>
      <c r="R173" s="183" t="str">
        <f>IFERROR(VLOOKUP($A173,#REF!,7,FALSE),"")</f>
        <v/>
      </c>
      <c r="S173" s="183"/>
      <c r="T173" s="184" t="str">
        <f>IFERROR(VLOOKUP($A173,#REF!,9,FALSE),"")</f>
        <v/>
      </c>
      <c r="U173" s="184" t="str">
        <f>IFERROR(VLOOKUP($A173,#REF!,10,FALSE),"")</f>
        <v/>
      </c>
      <c r="V173" s="184" t="str">
        <f>IFERROR(VLOOKUP($A173,#REF!,11,FALSE),"")</f>
        <v/>
      </c>
      <c r="W173" s="184" t="str">
        <f>IFERROR(VLOOKUP($A173,#REF!,12,FALSE),"")</f>
        <v/>
      </c>
      <c r="X173" s="184" t="str">
        <f>IFERROR(VLOOKUP($A173,#REF!,13,FALSE),"")</f>
        <v/>
      </c>
    </row>
    <row r="174" spans="1:24">
      <c r="A174" s="172">
        <v>172</v>
      </c>
      <c r="M174" s="182" t="str">
        <f>데이터입력!$AB$8</f>
        <v>00</v>
      </c>
      <c r="N174" s="185" t="str">
        <f>데이터입력!$AC$9</f>
        <v>일반사업[일반]</v>
      </c>
      <c r="O174" s="183" t="str">
        <f>IFERROR(VLOOKUP($A174,#REF!,4,FALSE),"")</f>
        <v/>
      </c>
      <c r="P174" s="183" t="str">
        <f>IFERROR(VLOOKUP($A174,#REF!,5,FALSE),"")</f>
        <v/>
      </c>
      <c r="Q174" s="789" t="str">
        <f>IFERROR(VLOOKUP($A174,#REF!,6,FALSE),"")</f>
        <v/>
      </c>
      <c r="R174" s="183" t="str">
        <f>IFERROR(VLOOKUP($A174,#REF!,7,FALSE),"")</f>
        <v/>
      </c>
      <c r="S174" s="183"/>
      <c r="T174" s="184" t="str">
        <f>IFERROR(VLOOKUP($A174,#REF!,9,FALSE),"")</f>
        <v/>
      </c>
      <c r="U174" s="184" t="str">
        <f>IFERROR(VLOOKUP($A174,#REF!,10,FALSE),"")</f>
        <v/>
      </c>
      <c r="V174" s="184" t="str">
        <f>IFERROR(VLOOKUP($A174,#REF!,11,FALSE),"")</f>
        <v/>
      </c>
      <c r="W174" s="184" t="str">
        <f>IFERROR(VLOOKUP($A174,#REF!,12,FALSE),"")</f>
        <v/>
      </c>
      <c r="X174" s="184" t="str">
        <f>IFERROR(VLOOKUP($A174,#REF!,13,FALSE),"")</f>
        <v/>
      </c>
    </row>
    <row r="175" spans="1:24">
      <c r="A175" s="172">
        <v>173</v>
      </c>
      <c r="M175" s="182" t="str">
        <f>데이터입력!$AB$8</f>
        <v>00</v>
      </c>
      <c r="N175" s="185" t="str">
        <f>데이터입력!$AC$9</f>
        <v>일반사업[일반]</v>
      </c>
      <c r="O175" s="183" t="str">
        <f>IFERROR(VLOOKUP($A175,#REF!,4,FALSE),"")</f>
        <v/>
      </c>
      <c r="P175" s="183" t="str">
        <f>IFERROR(VLOOKUP($A175,#REF!,5,FALSE),"")</f>
        <v/>
      </c>
      <c r="Q175" s="789" t="str">
        <f>IFERROR(VLOOKUP($A175,#REF!,6,FALSE),"")</f>
        <v/>
      </c>
      <c r="R175" s="183" t="str">
        <f>IFERROR(VLOOKUP($A175,#REF!,7,FALSE),"")</f>
        <v/>
      </c>
      <c r="S175" s="183"/>
      <c r="T175" s="184" t="str">
        <f>IFERROR(VLOOKUP($A175,#REF!,9,FALSE),"")</f>
        <v/>
      </c>
      <c r="U175" s="184" t="str">
        <f>IFERROR(VLOOKUP($A175,#REF!,10,FALSE),"")</f>
        <v/>
      </c>
      <c r="V175" s="184" t="str">
        <f>IFERROR(VLOOKUP($A175,#REF!,11,FALSE),"")</f>
        <v/>
      </c>
      <c r="W175" s="184" t="str">
        <f>IFERROR(VLOOKUP($A175,#REF!,12,FALSE),"")</f>
        <v/>
      </c>
      <c r="X175" s="184" t="str">
        <f>IFERROR(VLOOKUP($A175,#REF!,13,FALSE),"")</f>
        <v/>
      </c>
    </row>
    <row r="176" spans="1:24">
      <c r="A176" s="172">
        <v>174</v>
      </c>
      <c r="M176" s="182" t="str">
        <f>데이터입력!$AB$8</f>
        <v>00</v>
      </c>
      <c r="N176" s="185" t="str">
        <f>데이터입력!$AC$9</f>
        <v>일반사업[일반]</v>
      </c>
      <c r="O176" s="183" t="str">
        <f>IFERROR(VLOOKUP($A176,#REF!,4,FALSE),"")</f>
        <v/>
      </c>
      <c r="P176" s="183" t="str">
        <f>IFERROR(VLOOKUP($A176,#REF!,5,FALSE),"")</f>
        <v/>
      </c>
      <c r="Q176" s="789" t="str">
        <f>IFERROR(VLOOKUP($A176,#REF!,6,FALSE),"")</f>
        <v/>
      </c>
      <c r="R176" s="183" t="str">
        <f>IFERROR(VLOOKUP($A176,#REF!,7,FALSE),"")</f>
        <v/>
      </c>
      <c r="S176" s="183"/>
      <c r="T176" s="184" t="str">
        <f>IFERROR(VLOOKUP($A176,#REF!,9,FALSE),"")</f>
        <v/>
      </c>
      <c r="U176" s="184" t="str">
        <f>IFERROR(VLOOKUP($A176,#REF!,10,FALSE),"")</f>
        <v/>
      </c>
      <c r="V176" s="184" t="str">
        <f>IFERROR(VLOOKUP($A176,#REF!,11,FALSE),"")</f>
        <v/>
      </c>
      <c r="W176" s="184" t="str">
        <f>IFERROR(VLOOKUP($A176,#REF!,12,FALSE),"")</f>
        <v/>
      </c>
      <c r="X176" s="184" t="str">
        <f>IFERROR(VLOOKUP($A176,#REF!,13,FALSE),"")</f>
        <v/>
      </c>
    </row>
    <row r="177" spans="1:24">
      <c r="A177" s="172">
        <v>175</v>
      </c>
      <c r="M177" s="182" t="str">
        <f>데이터입력!$AB$8</f>
        <v>00</v>
      </c>
      <c r="N177" s="185" t="str">
        <f>데이터입력!$AC$9</f>
        <v>일반사업[일반]</v>
      </c>
      <c r="O177" s="183" t="str">
        <f>IFERROR(VLOOKUP($A177,#REF!,4,FALSE),"")</f>
        <v/>
      </c>
      <c r="P177" s="183" t="str">
        <f>IFERROR(VLOOKUP($A177,#REF!,5,FALSE),"")</f>
        <v/>
      </c>
      <c r="Q177" s="789" t="str">
        <f>IFERROR(VLOOKUP($A177,#REF!,6,FALSE),"")</f>
        <v/>
      </c>
      <c r="R177" s="183" t="str">
        <f>IFERROR(VLOOKUP($A177,#REF!,7,FALSE),"")</f>
        <v/>
      </c>
      <c r="S177" s="183"/>
      <c r="T177" s="184" t="str">
        <f>IFERROR(VLOOKUP($A177,#REF!,9,FALSE),"")</f>
        <v/>
      </c>
      <c r="U177" s="184" t="str">
        <f>IFERROR(VLOOKUP($A177,#REF!,10,FALSE),"")</f>
        <v/>
      </c>
      <c r="V177" s="184" t="str">
        <f>IFERROR(VLOOKUP($A177,#REF!,11,FALSE),"")</f>
        <v/>
      </c>
      <c r="W177" s="184" t="str">
        <f>IFERROR(VLOOKUP($A177,#REF!,12,FALSE),"")</f>
        <v/>
      </c>
      <c r="X177" s="184" t="str">
        <f>IFERROR(VLOOKUP($A177,#REF!,13,FALSE),"")</f>
        <v/>
      </c>
    </row>
    <row r="178" spans="1:24">
      <c r="A178" s="172">
        <v>176</v>
      </c>
      <c r="M178" s="182" t="str">
        <f>데이터입력!$AB$8</f>
        <v>00</v>
      </c>
      <c r="N178" s="185" t="str">
        <f>데이터입력!$AC$9</f>
        <v>일반사업[일반]</v>
      </c>
      <c r="O178" s="183" t="str">
        <f>IFERROR(VLOOKUP($A178,#REF!,4,FALSE),"")</f>
        <v/>
      </c>
      <c r="P178" s="183" t="str">
        <f>IFERROR(VLOOKUP($A178,#REF!,5,FALSE),"")</f>
        <v/>
      </c>
      <c r="Q178" s="789" t="str">
        <f>IFERROR(VLOOKUP($A178,#REF!,6,FALSE),"")</f>
        <v/>
      </c>
      <c r="R178" s="183" t="str">
        <f>IFERROR(VLOOKUP($A178,#REF!,7,FALSE),"")</f>
        <v/>
      </c>
      <c r="S178" s="183"/>
      <c r="T178" s="184" t="str">
        <f>IFERROR(VLOOKUP($A178,#REF!,9,FALSE),"")</f>
        <v/>
      </c>
      <c r="U178" s="184" t="str">
        <f>IFERROR(VLOOKUP($A178,#REF!,10,FALSE),"")</f>
        <v/>
      </c>
      <c r="V178" s="184" t="str">
        <f>IFERROR(VLOOKUP($A178,#REF!,11,FALSE),"")</f>
        <v/>
      </c>
      <c r="W178" s="184" t="str">
        <f>IFERROR(VLOOKUP($A178,#REF!,12,FALSE),"")</f>
        <v/>
      </c>
      <c r="X178" s="184" t="str">
        <f>IFERROR(VLOOKUP($A178,#REF!,13,FALSE),"")</f>
        <v/>
      </c>
    </row>
    <row r="179" spans="1:24">
      <c r="A179" s="172">
        <v>177</v>
      </c>
      <c r="M179" s="182" t="str">
        <f>데이터입력!$AB$8</f>
        <v>00</v>
      </c>
      <c r="N179" s="185" t="str">
        <f>데이터입력!$AC$9</f>
        <v>일반사업[일반]</v>
      </c>
      <c r="O179" s="183" t="str">
        <f>IFERROR(VLOOKUP($A179,#REF!,4,FALSE),"")</f>
        <v/>
      </c>
      <c r="P179" s="183" t="str">
        <f>IFERROR(VLOOKUP($A179,#REF!,5,FALSE),"")</f>
        <v/>
      </c>
      <c r="Q179" s="789" t="str">
        <f>IFERROR(VLOOKUP($A179,#REF!,6,FALSE),"")</f>
        <v/>
      </c>
      <c r="R179" s="183" t="str">
        <f>IFERROR(VLOOKUP($A179,#REF!,7,FALSE),"")</f>
        <v/>
      </c>
      <c r="S179" s="183"/>
      <c r="T179" s="184" t="str">
        <f>IFERROR(VLOOKUP($A179,#REF!,9,FALSE),"")</f>
        <v/>
      </c>
      <c r="U179" s="184" t="str">
        <f>IFERROR(VLOOKUP($A179,#REF!,10,FALSE),"")</f>
        <v/>
      </c>
      <c r="V179" s="184" t="str">
        <f>IFERROR(VLOOKUP($A179,#REF!,11,FALSE),"")</f>
        <v/>
      </c>
      <c r="W179" s="184" t="str">
        <f>IFERROR(VLOOKUP($A179,#REF!,12,FALSE),"")</f>
        <v/>
      </c>
      <c r="X179" s="184" t="str">
        <f>IFERROR(VLOOKUP($A179,#REF!,13,FALSE),"")</f>
        <v/>
      </c>
    </row>
    <row r="180" spans="1:24">
      <c r="A180" s="172">
        <v>178</v>
      </c>
      <c r="M180" s="182" t="str">
        <f>데이터입력!$AB$8</f>
        <v>00</v>
      </c>
      <c r="N180" s="185" t="str">
        <f>데이터입력!$AC$9</f>
        <v>일반사업[일반]</v>
      </c>
      <c r="O180" s="183" t="str">
        <f>IFERROR(VLOOKUP($A180,#REF!,4,FALSE),"")</f>
        <v/>
      </c>
      <c r="P180" s="183" t="str">
        <f>IFERROR(VLOOKUP($A180,#REF!,5,FALSE),"")</f>
        <v/>
      </c>
      <c r="Q180" s="789" t="str">
        <f>IFERROR(VLOOKUP($A180,#REF!,6,FALSE),"")</f>
        <v/>
      </c>
      <c r="R180" s="183" t="str">
        <f>IFERROR(VLOOKUP($A180,#REF!,7,FALSE),"")</f>
        <v/>
      </c>
      <c r="S180" s="183"/>
      <c r="T180" s="184" t="str">
        <f>IFERROR(VLOOKUP($A180,#REF!,9,FALSE),"")</f>
        <v/>
      </c>
      <c r="U180" s="184" t="str">
        <f>IFERROR(VLOOKUP($A180,#REF!,10,FALSE),"")</f>
        <v/>
      </c>
      <c r="V180" s="184" t="str">
        <f>IFERROR(VLOOKUP($A180,#REF!,11,FALSE),"")</f>
        <v/>
      </c>
      <c r="W180" s="184" t="str">
        <f>IFERROR(VLOOKUP($A180,#REF!,12,FALSE),"")</f>
        <v/>
      </c>
      <c r="X180" s="184" t="str">
        <f>IFERROR(VLOOKUP($A180,#REF!,13,FALSE),"")</f>
        <v/>
      </c>
    </row>
    <row r="181" spans="1:24">
      <c r="A181" s="172">
        <v>179</v>
      </c>
      <c r="M181" s="182" t="str">
        <f>데이터입력!$AB$8</f>
        <v>00</v>
      </c>
      <c r="N181" s="185" t="str">
        <f>데이터입력!$AC$9</f>
        <v>일반사업[일반]</v>
      </c>
      <c r="O181" s="183" t="str">
        <f>IFERROR(VLOOKUP($A181,#REF!,4,FALSE),"")</f>
        <v/>
      </c>
      <c r="P181" s="183" t="str">
        <f>IFERROR(VLOOKUP($A181,#REF!,5,FALSE),"")</f>
        <v/>
      </c>
      <c r="Q181" s="789" t="str">
        <f>IFERROR(VLOOKUP($A181,#REF!,6,FALSE),"")</f>
        <v/>
      </c>
      <c r="R181" s="183" t="str">
        <f>IFERROR(VLOOKUP($A181,#REF!,7,FALSE),"")</f>
        <v/>
      </c>
      <c r="S181" s="183"/>
      <c r="T181" s="184" t="str">
        <f>IFERROR(VLOOKUP($A181,#REF!,9,FALSE),"")</f>
        <v/>
      </c>
      <c r="U181" s="184" t="str">
        <f>IFERROR(VLOOKUP($A181,#REF!,10,FALSE),"")</f>
        <v/>
      </c>
      <c r="V181" s="184" t="str">
        <f>IFERROR(VLOOKUP($A181,#REF!,11,FALSE),"")</f>
        <v/>
      </c>
      <c r="W181" s="184" t="str">
        <f>IFERROR(VLOOKUP($A181,#REF!,12,FALSE),"")</f>
        <v/>
      </c>
      <c r="X181" s="184" t="str">
        <f>IFERROR(VLOOKUP($A181,#REF!,13,FALSE),"")</f>
        <v/>
      </c>
    </row>
    <row r="182" spans="1:24">
      <c r="A182" s="172">
        <v>180</v>
      </c>
      <c r="M182" s="182" t="str">
        <f>데이터입력!$AB$8</f>
        <v>00</v>
      </c>
      <c r="N182" s="185" t="str">
        <f>데이터입력!$AC$9</f>
        <v>일반사업[일반]</v>
      </c>
      <c r="O182" s="183" t="str">
        <f>IFERROR(VLOOKUP($A182,#REF!,4,FALSE),"")</f>
        <v/>
      </c>
      <c r="P182" s="183" t="str">
        <f>IFERROR(VLOOKUP($A182,#REF!,5,FALSE),"")</f>
        <v/>
      </c>
      <c r="Q182" s="789" t="str">
        <f>IFERROR(VLOOKUP($A182,#REF!,6,FALSE),"")</f>
        <v/>
      </c>
      <c r="R182" s="183" t="str">
        <f>IFERROR(VLOOKUP($A182,#REF!,7,FALSE),"")</f>
        <v/>
      </c>
      <c r="S182" s="183"/>
      <c r="T182" s="184" t="str">
        <f>IFERROR(VLOOKUP($A182,#REF!,9,FALSE),"")</f>
        <v/>
      </c>
      <c r="U182" s="184" t="str">
        <f>IFERROR(VLOOKUP($A182,#REF!,10,FALSE),"")</f>
        <v/>
      </c>
      <c r="V182" s="184" t="str">
        <f>IFERROR(VLOOKUP($A182,#REF!,11,FALSE),"")</f>
        <v/>
      </c>
      <c r="W182" s="184" t="str">
        <f>IFERROR(VLOOKUP($A182,#REF!,12,FALSE),"")</f>
        <v/>
      </c>
      <c r="X182" s="184" t="str">
        <f>IFERROR(VLOOKUP($A182,#REF!,13,FALSE),"")</f>
        <v/>
      </c>
    </row>
    <row r="183" spans="1:24">
      <c r="A183" s="172">
        <v>181</v>
      </c>
      <c r="M183" s="182" t="str">
        <f>데이터입력!$AB$8</f>
        <v>00</v>
      </c>
      <c r="N183" s="185" t="str">
        <f>데이터입력!$AC$9</f>
        <v>일반사업[일반]</v>
      </c>
      <c r="O183" s="183" t="str">
        <f>IFERROR(VLOOKUP($A183,#REF!,4,FALSE),"")</f>
        <v/>
      </c>
      <c r="P183" s="183" t="str">
        <f>IFERROR(VLOOKUP($A183,#REF!,5,FALSE),"")</f>
        <v/>
      </c>
      <c r="Q183" s="789" t="str">
        <f>IFERROR(VLOOKUP($A183,#REF!,6,FALSE),"")</f>
        <v/>
      </c>
      <c r="R183" s="183" t="str">
        <f>IFERROR(VLOOKUP($A183,#REF!,7,FALSE),"")</f>
        <v/>
      </c>
      <c r="S183" s="183"/>
      <c r="T183" s="184" t="str">
        <f>IFERROR(VLOOKUP($A183,#REF!,9,FALSE),"")</f>
        <v/>
      </c>
      <c r="U183" s="184" t="str">
        <f>IFERROR(VLOOKUP($A183,#REF!,10,FALSE),"")</f>
        <v/>
      </c>
      <c r="V183" s="184" t="str">
        <f>IFERROR(VLOOKUP($A183,#REF!,11,FALSE),"")</f>
        <v/>
      </c>
      <c r="W183" s="184" t="str">
        <f>IFERROR(VLOOKUP($A183,#REF!,12,FALSE),"")</f>
        <v/>
      </c>
      <c r="X183" s="184" t="str">
        <f>IFERROR(VLOOKUP($A183,#REF!,13,FALSE),"")</f>
        <v/>
      </c>
    </row>
    <row r="184" spans="1:24">
      <c r="A184" s="172">
        <v>182</v>
      </c>
      <c r="M184" s="182" t="str">
        <f>데이터입력!$AB$8</f>
        <v>00</v>
      </c>
      <c r="N184" s="185" t="str">
        <f>데이터입력!$AC$9</f>
        <v>일반사업[일반]</v>
      </c>
      <c r="O184" s="183" t="str">
        <f>IFERROR(VLOOKUP($A184,#REF!,4,FALSE),"")</f>
        <v/>
      </c>
      <c r="P184" s="183" t="str">
        <f>IFERROR(VLOOKUP($A184,#REF!,5,FALSE),"")</f>
        <v/>
      </c>
      <c r="Q184" s="789" t="str">
        <f>IFERROR(VLOOKUP($A184,#REF!,6,FALSE),"")</f>
        <v/>
      </c>
      <c r="R184" s="183" t="str">
        <f>IFERROR(VLOOKUP($A184,#REF!,7,FALSE),"")</f>
        <v/>
      </c>
      <c r="S184" s="183"/>
      <c r="T184" s="184" t="str">
        <f>IFERROR(VLOOKUP($A184,#REF!,9,FALSE),"")</f>
        <v/>
      </c>
      <c r="U184" s="184" t="str">
        <f>IFERROR(VLOOKUP($A184,#REF!,10,FALSE),"")</f>
        <v/>
      </c>
      <c r="V184" s="184" t="str">
        <f>IFERROR(VLOOKUP($A184,#REF!,11,FALSE),"")</f>
        <v/>
      </c>
      <c r="W184" s="184" t="str">
        <f>IFERROR(VLOOKUP($A184,#REF!,12,FALSE),"")</f>
        <v/>
      </c>
      <c r="X184" s="184" t="str">
        <f>IFERROR(VLOOKUP($A184,#REF!,13,FALSE),"")</f>
        <v/>
      </c>
    </row>
    <row r="185" spans="1:24">
      <c r="A185" s="172">
        <v>183</v>
      </c>
      <c r="M185" s="182" t="str">
        <f>데이터입력!$AB$8</f>
        <v>00</v>
      </c>
      <c r="N185" s="185" t="str">
        <f>데이터입력!$AC$9</f>
        <v>일반사업[일반]</v>
      </c>
      <c r="O185" s="183" t="str">
        <f>IFERROR(VLOOKUP($A185,#REF!,4,FALSE),"")</f>
        <v/>
      </c>
      <c r="P185" s="183" t="str">
        <f>IFERROR(VLOOKUP($A185,#REF!,5,FALSE),"")</f>
        <v/>
      </c>
      <c r="Q185" s="789" t="str">
        <f>IFERROR(VLOOKUP($A185,#REF!,6,FALSE),"")</f>
        <v/>
      </c>
      <c r="R185" s="183" t="str">
        <f>IFERROR(VLOOKUP($A185,#REF!,7,FALSE),"")</f>
        <v/>
      </c>
      <c r="S185" s="183"/>
      <c r="T185" s="184" t="str">
        <f>IFERROR(VLOOKUP($A185,#REF!,9,FALSE),"")</f>
        <v/>
      </c>
      <c r="U185" s="184" t="str">
        <f>IFERROR(VLOOKUP($A185,#REF!,10,FALSE),"")</f>
        <v/>
      </c>
      <c r="V185" s="184" t="str">
        <f>IFERROR(VLOOKUP($A185,#REF!,11,FALSE),"")</f>
        <v/>
      </c>
      <c r="W185" s="184" t="str">
        <f>IFERROR(VLOOKUP($A185,#REF!,12,FALSE),"")</f>
        <v/>
      </c>
      <c r="X185" s="184" t="str">
        <f>IFERROR(VLOOKUP($A185,#REF!,13,FALSE),"")</f>
        <v/>
      </c>
    </row>
    <row r="186" spans="1:24">
      <c r="A186" s="172">
        <v>184</v>
      </c>
      <c r="M186" s="182" t="str">
        <f>데이터입력!$AB$8</f>
        <v>00</v>
      </c>
      <c r="N186" s="185" t="str">
        <f>데이터입력!$AC$9</f>
        <v>일반사업[일반]</v>
      </c>
      <c r="O186" s="183" t="str">
        <f>IFERROR(VLOOKUP($A186,#REF!,4,FALSE),"")</f>
        <v/>
      </c>
      <c r="P186" s="183" t="str">
        <f>IFERROR(VLOOKUP($A186,#REF!,5,FALSE),"")</f>
        <v/>
      </c>
      <c r="Q186" s="789" t="str">
        <f>IFERROR(VLOOKUP($A186,#REF!,6,FALSE),"")</f>
        <v/>
      </c>
      <c r="R186" s="183" t="str">
        <f>IFERROR(VLOOKUP($A186,#REF!,7,FALSE),"")</f>
        <v/>
      </c>
      <c r="S186" s="183"/>
      <c r="T186" s="184" t="str">
        <f>IFERROR(VLOOKUP($A186,#REF!,9,FALSE),"")</f>
        <v/>
      </c>
      <c r="U186" s="184" t="str">
        <f>IFERROR(VLOOKUP($A186,#REF!,10,FALSE),"")</f>
        <v/>
      </c>
      <c r="V186" s="184" t="str">
        <f>IFERROR(VLOOKUP($A186,#REF!,11,FALSE),"")</f>
        <v/>
      </c>
      <c r="W186" s="184" t="str">
        <f>IFERROR(VLOOKUP($A186,#REF!,12,FALSE),"")</f>
        <v/>
      </c>
      <c r="X186" s="184" t="str">
        <f>IFERROR(VLOOKUP($A186,#REF!,13,FALSE),"")</f>
        <v/>
      </c>
    </row>
    <row r="187" spans="1:24">
      <c r="A187" s="172">
        <v>185</v>
      </c>
      <c r="M187" s="182" t="str">
        <f>데이터입력!$AB$8</f>
        <v>00</v>
      </c>
      <c r="N187" s="185" t="str">
        <f>데이터입력!$AC$9</f>
        <v>일반사업[일반]</v>
      </c>
      <c r="O187" s="183" t="str">
        <f>IFERROR(VLOOKUP($A187,#REF!,4,FALSE),"")</f>
        <v/>
      </c>
      <c r="P187" s="183" t="str">
        <f>IFERROR(VLOOKUP($A187,#REF!,5,FALSE),"")</f>
        <v/>
      </c>
      <c r="Q187" s="789" t="str">
        <f>IFERROR(VLOOKUP($A187,#REF!,6,FALSE),"")</f>
        <v/>
      </c>
      <c r="R187" s="183" t="str">
        <f>IFERROR(VLOOKUP($A187,#REF!,7,FALSE),"")</f>
        <v/>
      </c>
      <c r="S187" s="183"/>
      <c r="T187" s="184" t="str">
        <f>IFERROR(VLOOKUP($A187,#REF!,9,FALSE),"")</f>
        <v/>
      </c>
      <c r="U187" s="184" t="str">
        <f>IFERROR(VLOOKUP($A187,#REF!,10,FALSE),"")</f>
        <v/>
      </c>
      <c r="V187" s="184" t="str">
        <f>IFERROR(VLOOKUP($A187,#REF!,11,FALSE),"")</f>
        <v/>
      </c>
      <c r="W187" s="184" t="str">
        <f>IFERROR(VLOOKUP($A187,#REF!,12,FALSE),"")</f>
        <v/>
      </c>
      <c r="X187" s="184" t="str">
        <f>IFERROR(VLOOKUP($A187,#REF!,13,FALSE),"")</f>
        <v/>
      </c>
    </row>
    <row r="188" spans="1:24">
      <c r="A188" s="172">
        <v>186</v>
      </c>
      <c r="M188" s="182" t="str">
        <f>데이터입력!$AB$8</f>
        <v>00</v>
      </c>
      <c r="N188" s="185" t="str">
        <f>데이터입력!$AC$9</f>
        <v>일반사업[일반]</v>
      </c>
      <c r="O188" s="183" t="str">
        <f>IFERROR(VLOOKUP($A188,#REF!,4,FALSE),"")</f>
        <v/>
      </c>
      <c r="P188" s="183" t="str">
        <f>IFERROR(VLOOKUP($A188,#REF!,5,FALSE),"")</f>
        <v/>
      </c>
      <c r="Q188" s="789" t="str">
        <f>IFERROR(VLOOKUP($A188,#REF!,6,FALSE),"")</f>
        <v/>
      </c>
      <c r="R188" s="183" t="str">
        <f>IFERROR(VLOOKUP($A188,#REF!,7,FALSE),"")</f>
        <v/>
      </c>
      <c r="S188" s="183"/>
      <c r="T188" s="184" t="str">
        <f>IFERROR(VLOOKUP($A188,#REF!,9,FALSE),"")</f>
        <v/>
      </c>
      <c r="U188" s="184" t="str">
        <f>IFERROR(VLOOKUP($A188,#REF!,10,FALSE),"")</f>
        <v/>
      </c>
      <c r="V188" s="184" t="str">
        <f>IFERROR(VLOOKUP($A188,#REF!,11,FALSE),"")</f>
        <v/>
      </c>
      <c r="W188" s="184" t="str">
        <f>IFERROR(VLOOKUP($A188,#REF!,12,FALSE),"")</f>
        <v/>
      </c>
      <c r="X188" s="184" t="str">
        <f>IFERROR(VLOOKUP($A188,#REF!,13,FALSE),"")</f>
        <v/>
      </c>
    </row>
    <row r="189" spans="1:24">
      <c r="A189" s="172">
        <v>187</v>
      </c>
      <c r="M189" s="182" t="str">
        <f>데이터입력!$AB$8</f>
        <v>00</v>
      </c>
      <c r="N189" s="185" t="str">
        <f>데이터입력!$AC$9</f>
        <v>일반사업[일반]</v>
      </c>
      <c r="O189" s="183" t="str">
        <f>IFERROR(VLOOKUP($A189,#REF!,4,FALSE),"")</f>
        <v/>
      </c>
      <c r="P189" s="183" t="str">
        <f>IFERROR(VLOOKUP($A189,#REF!,5,FALSE),"")</f>
        <v/>
      </c>
      <c r="Q189" s="789" t="str">
        <f>IFERROR(VLOOKUP($A189,#REF!,6,FALSE),"")</f>
        <v/>
      </c>
      <c r="R189" s="183" t="str">
        <f>IFERROR(VLOOKUP($A189,#REF!,7,FALSE),"")</f>
        <v/>
      </c>
      <c r="S189" s="183"/>
      <c r="T189" s="184" t="str">
        <f>IFERROR(VLOOKUP($A189,#REF!,9,FALSE),"")</f>
        <v/>
      </c>
      <c r="U189" s="184" t="str">
        <f>IFERROR(VLOOKUP($A189,#REF!,10,FALSE),"")</f>
        <v/>
      </c>
      <c r="V189" s="184" t="str">
        <f>IFERROR(VLOOKUP($A189,#REF!,11,FALSE),"")</f>
        <v/>
      </c>
      <c r="W189" s="184" t="str">
        <f>IFERROR(VLOOKUP($A189,#REF!,12,FALSE),"")</f>
        <v/>
      </c>
      <c r="X189" s="184" t="str">
        <f>IFERROR(VLOOKUP($A189,#REF!,13,FALSE),"")</f>
        <v/>
      </c>
    </row>
    <row r="190" spans="1:24">
      <c r="A190" s="172">
        <v>188</v>
      </c>
      <c r="M190" s="182" t="str">
        <f>데이터입력!$AB$8</f>
        <v>00</v>
      </c>
      <c r="N190" s="185" t="str">
        <f>데이터입력!$AC$9</f>
        <v>일반사업[일반]</v>
      </c>
      <c r="O190" s="183" t="str">
        <f>IFERROR(VLOOKUP($A190,#REF!,4,FALSE),"")</f>
        <v/>
      </c>
      <c r="P190" s="183" t="str">
        <f>IFERROR(VLOOKUP($A190,#REF!,5,FALSE),"")</f>
        <v/>
      </c>
      <c r="Q190" s="789" t="str">
        <f>IFERROR(VLOOKUP($A190,#REF!,6,FALSE),"")</f>
        <v/>
      </c>
      <c r="R190" s="183" t="str">
        <f>IFERROR(VLOOKUP($A190,#REF!,7,FALSE),"")</f>
        <v/>
      </c>
      <c r="S190" s="183"/>
      <c r="T190" s="184" t="str">
        <f>IFERROR(VLOOKUP($A190,#REF!,9,FALSE),"")</f>
        <v/>
      </c>
      <c r="U190" s="184" t="str">
        <f>IFERROR(VLOOKUP($A190,#REF!,10,FALSE),"")</f>
        <v/>
      </c>
      <c r="V190" s="184" t="str">
        <f>IFERROR(VLOOKUP($A190,#REF!,11,FALSE),"")</f>
        <v/>
      </c>
      <c r="W190" s="184" t="str">
        <f>IFERROR(VLOOKUP($A190,#REF!,12,FALSE),"")</f>
        <v/>
      </c>
      <c r="X190" s="184" t="str">
        <f>IFERROR(VLOOKUP($A190,#REF!,13,FALSE),"")</f>
        <v/>
      </c>
    </row>
    <row r="191" spans="1:24">
      <c r="A191" s="172">
        <v>189</v>
      </c>
      <c r="M191" s="182" t="str">
        <f>데이터입력!$AB$8</f>
        <v>00</v>
      </c>
      <c r="N191" s="185" t="str">
        <f>데이터입력!$AC$9</f>
        <v>일반사업[일반]</v>
      </c>
      <c r="O191" s="183" t="str">
        <f>IFERROR(VLOOKUP($A191,#REF!,4,FALSE),"")</f>
        <v/>
      </c>
      <c r="P191" s="183" t="str">
        <f>IFERROR(VLOOKUP($A191,#REF!,5,FALSE),"")</f>
        <v/>
      </c>
      <c r="Q191" s="789" t="str">
        <f>IFERROR(VLOOKUP($A191,#REF!,6,FALSE),"")</f>
        <v/>
      </c>
      <c r="R191" s="183" t="str">
        <f>IFERROR(VLOOKUP($A191,#REF!,7,FALSE),"")</f>
        <v/>
      </c>
      <c r="S191" s="183"/>
      <c r="T191" s="184" t="str">
        <f>IFERROR(VLOOKUP($A191,#REF!,9,FALSE),"")</f>
        <v/>
      </c>
      <c r="U191" s="184" t="str">
        <f>IFERROR(VLOOKUP($A191,#REF!,10,FALSE),"")</f>
        <v/>
      </c>
      <c r="V191" s="184" t="str">
        <f>IFERROR(VLOOKUP($A191,#REF!,11,FALSE),"")</f>
        <v/>
      </c>
      <c r="W191" s="184" t="str">
        <f>IFERROR(VLOOKUP($A191,#REF!,12,FALSE),"")</f>
        <v/>
      </c>
      <c r="X191" s="184" t="str">
        <f>IFERROR(VLOOKUP($A191,#REF!,13,FALSE),"")</f>
        <v/>
      </c>
    </row>
    <row r="192" spans="1:24">
      <c r="A192" s="172">
        <v>190</v>
      </c>
      <c r="M192" s="182" t="str">
        <f>데이터입력!$AB$8</f>
        <v>00</v>
      </c>
      <c r="N192" s="185" t="str">
        <f>데이터입력!$AC$9</f>
        <v>일반사업[일반]</v>
      </c>
      <c r="O192" s="183" t="str">
        <f>IFERROR(VLOOKUP($A192,#REF!,4,FALSE),"")</f>
        <v/>
      </c>
      <c r="P192" s="183" t="str">
        <f>IFERROR(VLOOKUP($A192,#REF!,5,FALSE),"")</f>
        <v/>
      </c>
      <c r="Q192" s="789" t="str">
        <f>IFERROR(VLOOKUP($A192,#REF!,6,FALSE),"")</f>
        <v/>
      </c>
      <c r="R192" s="183" t="str">
        <f>IFERROR(VLOOKUP($A192,#REF!,7,FALSE),"")</f>
        <v/>
      </c>
      <c r="S192" s="183"/>
      <c r="T192" s="184" t="str">
        <f>IFERROR(VLOOKUP($A192,#REF!,9,FALSE),"")</f>
        <v/>
      </c>
      <c r="U192" s="184" t="str">
        <f>IFERROR(VLOOKUP($A192,#REF!,10,FALSE),"")</f>
        <v/>
      </c>
      <c r="V192" s="184" t="str">
        <f>IFERROR(VLOOKUP($A192,#REF!,11,FALSE),"")</f>
        <v/>
      </c>
      <c r="W192" s="184" t="str">
        <f>IFERROR(VLOOKUP($A192,#REF!,12,FALSE),"")</f>
        <v/>
      </c>
      <c r="X192" s="184" t="str">
        <f>IFERROR(VLOOKUP($A192,#REF!,13,FALSE),"")</f>
        <v/>
      </c>
    </row>
    <row r="193" spans="1:24">
      <c r="A193" s="172">
        <v>191</v>
      </c>
      <c r="M193" s="182" t="str">
        <f>데이터입력!$AB$8</f>
        <v>00</v>
      </c>
      <c r="N193" s="185" t="str">
        <f>데이터입력!$AC$9</f>
        <v>일반사업[일반]</v>
      </c>
      <c r="O193" s="183" t="str">
        <f>IFERROR(VLOOKUP($A193,#REF!,4,FALSE),"")</f>
        <v/>
      </c>
      <c r="P193" s="183" t="str">
        <f>IFERROR(VLOOKUP($A193,#REF!,5,FALSE),"")</f>
        <v/>
      </c>
      <c r="Q193" s="789" t="str">
        <f>IFERROR(VLOOKUP($A193,#REF!,6,FALSE),"")</f>
        <v/>
      </c>
      <c r="R193" s="183" t="str">
        <f>IFERROR(VLOOKUP($A193,#REF!,7,FALSE),"")</f>
        <v/>
      </c>
      <c r="S193" s="183"/>
      <c r="T193" s="184" t="str">
        <f>IFERROR(VLOOKUP($A193,#REF!,9,FALSE),"")</f>
        <v/>
      </c>
      <c r="U193" s="184" t="str">
        <f>IFERROR(VLOOKUP($A193,#REF!,10,FALSE),"")</f>
        <v/>
      </c>
      <c r="V193" s="184" t="str">
        <f>IFERROR(VLOOKUP($A193,#REF!,11,FALSE),"")</f>
        <v/>
      </c>
      <c r="W193" s="184" t="str">
        <f>IFERROR(VLOOKUP($A193,#REF!,12,FALSE),"")</f>
        <v/>
      </c>
      <c r="X193" s="184" t="str">
        <f>IFERROR(VLOOKUP($A193,#REF!,13,FALSE),"")</f>
        <v/>
      </c>
    </row>
    <row r="194" spans="1:24">
      <c r="A194" s="172">
        <v>192</v>
      </c>
      <c r="M194" s="182" t="str">
        <f>데이터입력!$AB$8</f>
        <v>00</v>
      </c>
      <c r="N194" s="185" t="str">
        <f>데이터입력!$AC$9</f>
        <v>일반사업[일반]</v>
      </c>
      <c r="O194" s="183" t="str">
        <f>IFERROR(VLOOKUP($A194,#REF!,4,FALSE),"")</f>
        <v/>
      </c>
      <c r="P194" s="183" t="str">
        <f>IFERROR(VLOOKUP($A194,#REF!,5,FALSE),"")</f>
        <v/>
      </c>
      <c r="Q194" s="789" t="str">
        <f>IFERROR(VLOOKUP($A194,#REF!,6,FALSE),"")</f>
        <v/>
      </c>
      <c r="R194" s="183" t="str">
        <f>IFERROR(VLOOKUP($A194,#REF!,7,FALSE),"")</f>
        <v/>
      </c>
      <c r="S194" s="183"/>
      <c r="T194" s="184" t="str">
        <f>IFERROR(VLOOKUP($A194,#REF!,9,FALSE),"")</f>
        <v/>
      </c>
      <c r="U194" s="184" t="str">
        <f>IFERROR(VLOOKUP($A194,#REF!,10,FALSE),"")</f>
        <v/>
      </c>
      <c r="V194" s="184" t="str">
        <f>IFERROR(VLOOKUP($A194,#REF!,11,FALSE),"")</f>
        <v/>
      </c>
      <c r="W194" s="184" t="str">
        <f>IFERROR(VLOOKUP($A194,#REF!,12,FALSE),"")</f>
        <v/>
      </c>
      <c r="X194" s="184" t="str">
        <f>IFERROR(VLOOKUP($A194,#REF!,13,FALSE),"")</f>
        <v/>
      </c>
    </row>
    <row r="195" spans="1:24">
      <c r="A195" s="172">
        <v>193</v>
      </c>
      <c r="M195" s="182" t="str">
        <f>데이터입력!$AB$8</f>
        <v>00</v>
      </c>
      <c r="N195" s="185" t="str">
        <f>데이터입력!$AC$9</f>
        <v>일반사업[일반]</v>
      </c>
      <c r="O195" s="183" t="str">
        <f>IFERROR(VLOOKUP($A195,#REF!,4,FALSE),"")</f>
        <v/>
      </c>
      <c r="P195" s="183" t="str">
        <f>IFERROR(VLOOKUP($A195,#REF!,5,FALSE),"")</f>
        <v/>
      </c>
      <c r="Q195" s="789" t="str">
        <f>IFERROR(VLOOKUP($A195,#REF!,6,FALSE),"")</f>
        <v/>
      </c>
      <c r="R195" s="183" t="str">
        <f>IFERROR(VLOOKUP($A195,#REF!,7,FALSE),"")</f>
        <v/>
      </c>
      <c r="S195" s="183"/>
      <c r="T195" s="184" t="str">
        <f>IFERROR(VLOOKUP($A195,#REF!,9,FALSE),"")</f>
        <v/>
      </c>
      <c r="U195" s="184" t="str">
        <f>IFERROR(VLOOKUP($A195,#REF!,10,FALSE),"")</f>
        <v/>
      </c>
      <c r="V195" s="184" t="str">
        <f>IFERROR(VLOOKUP($A195,#REF!,11,FALSE),"")</f>
        <v/>
      </c>
      <c r="W195" s="184" t="str">
        <f>IFERROR(VLOOKUP($A195,#REF!,12,FALSE),"")</f>
        <v/>
      </c>
      <c r="X195" s="184" t="str">
        <f>IFERROR(VLOOKUP($A195,#REF!,13,FALSE),"")</f>
        <v/>
      </c>
    </row>
    <row r="196" spans="1:24">
      <c r="A196" s="172">
        <v>194</v>
      </c>
      <c r="M196" s="182" t="str">
        <f>데이터입력!$AB$8</f>
        <v>00</v>
      </c>
      <c r="N196" s="185" t="str">
        <f>데이터입력!$AC$9</f>
        <v>일반사업[일반]</v>
      </c>
      <c r="O196" s="183" t="str">
        <f>IFERROR(VLOOKUP($A196,#REF!,4,FALSE),"")</f>
        <v/>
      </c>
      <c r="P196" s="183" t="str">
        <f>IFERROR(VLOOKUP($A196,#REF!,5,FALSE),"")</f>
        <v/>
      </c>
      <c r="Q196" s="789" t="str">
        <f>IFERROR(VLOOKUP($A196,#REF!,6,FALSE),"")</f>
        <v/>
      </c>
      <c r="R196" s="183" t="str">
        <f>IFERROR(VLOOKUP($A196,#REF!,7,FALSE),"")</f>
        <v/>
      </c>
      <c r="S196" s="183"/>
      <c r="T196" s="184" t="str">
        <f>IFERROR(VLOOKUP($A196,#REF!,9,FALSE),"")</f>
        <v/>
      </c>
      <c r="U196" s="184" t="str">
        <f>IFERROR(VLOOKUP($A196,#REF!,10,FALSE),"")</f>
        <v/>
      </c>
      <c r="V196" s="184" t="str">
        <f>IFERROR(VLOOKUP($A196,#REF!,11,FALSE),"")</f>
        <v/>
      </c>
      <c r="W196" s="184" t="str">
        <f>IFERROR(VLOOKUP($A196,#REF!,12,FALSE),"")</f>
        <v/>
      </c>
      <c r="X196" s="184" t="str">
        <f>IFERROR(VLOOKUP($A196,#REF!,13,FALSE),"")</f>
        <v/>
      </c>
    </row>
    <row r="197" spans="1:24">
      <c r="A197" s="172">
        <v>195</v>
      </c>
      <c r="M197" s="182" t="str">
        <f>데이터입력!$AB$8</f>
        <v>00</v>
      </c>
      <c r="N197" s="185" t="str">
        <f>데이터입력!$AC$9</f>
        <v>일반사업[일반]</v>
      </c>
      <c r="O197" s="183" t="str">
        <f>IFERROR(VLOOKUP($A197,#REF!,4,FALSE),"")</f>
        <v/>
      </c>
      <c r="P197" s="183" t="str">
        <f>IFERROR(VLOOKUP($A197,#REF!,5,FALSE),"")</f>
        <v/>
      </c>
      <c r="Q197" s="789" t="str">
        <f>IFERROR(VLOOKUP($A197,#REF!,6,FALSE),"")</f>
        <v/>
      </c>
      <c r="R197" s="183" t="str">
        <f>IFERROR(VLOOKUP($A197,#REF!,7,FALSE),"")</f>
        <v/>
      </c>
      <c r="S197" s="183"/>
      <c r="T197" s="184" t="str">
        <f>IFERROR(VLOOKUP($A197,#REF!,9,FALSE),"")</f>
        <v/>
      </c>
      <c r="U197" s="184" t="str">
        <f>IFERROR(VLOOKUP($A197,#REF!,10,FALSE),"")</f>
        <v/>
      </c>
      <c r="V197" s="184" t="str">
        <f>IFERROR(VLOOKUP($A197,#REF!,11,FALSE),"")</f>
        <v/>
      </c>
      <c r="W197" s="184" t="str">
        <f>IFERROR(VLOOKUP($A197,#REF!,12,FALSE),"")</f>
        <v/>
      </c>
      <c r="X197" s="184" t="str">
        <f>IFERROR(VLOOKUP($A197,#REF!,13,FALSE),"")</f>
        <v/>
      </c>
    </row>
    <row r="198" spans="1:24">
      <c r="A198" s="172">
        <v>196</v>
      </c>
      <c r="M198" s="182" t="str">
        <f>데이터입력!$AB$8</f>
        <v>00</v>
      </c>
      <c r="N198" s="185" t="str">
        <f>데이터입력!$AC$9</f>
        <v>일반사업[일반]</v>
      </c>
      <c r="O198" s="183" t="str">
        <f>IFERROR(VLOOKUP($A198,#REF!,4,FALSE),"")</f>
        <v/>
      </c>
      <c r="P198" s="183" t="str">
        <f>IFERROR(VLOOKUP($A198,#REF!,5,FALSE),"")</f>
        <v/>
      </c>
      <c r="Q198" s="789" t="str">
        <f>IFERROR(VLOOKUP($A198,#REF!,6,FALSE),"")</f>
        <v/>
      </c>
      <c r="R198" s="183" t="str">
        <f>IFERROR(VLOOKUP($A198,#REF!,7,FALSE),"")</f>
        <v/>
      </c>
      <c r="S198" s="183"/>
      <c r="T198" s="184" t="str">
        <f>IFERROR(VLOOKUP($A198,#REF!,9,FALSE),"")</f>
        <v/>
      </c>
      <c r="U198" s="184" t="str">
        <f>IFERROR(VLOOKUP($A198,#REF!,10,FALSE),"")</f>
        <v/>
      </c>
      <c r="V198" s="184" t="str">
        <f>IFERROR(VLOOKUP($A198,#REF!,11,FALSE),"")</f>
        <v/>
      </c>
      <c r="W198" s="184" t="str">
        <f>IFERROR(VLOOKUP($A198,#REF!,12,FALSE),"")</f>
        <v/>
      </c>
      <c r="X198" s="184" t="str">
        <f>IFERROR(VLOOKUP($A198,#REF!,13,FALSE),"")</f>
        <v/>
      </c>
    </row>
    <row r="199" spans="1:24">
      <c r="A199" s="172">
        <v>197</v>
      </c>
      <c r="M199" s="182" t="str">
        <f>데이터입력!$AB$8</f>
        <v>00</v>
      </c>
      <c r="N199" s="185" t="str">
        <f>데이터입력!$AC$9</f>
        <v>일반사업[일반]</v>
      </c>
      <c r="O199" s="183" t="str">
        <f>IFERROR(VLOOKUP($A199,#REF!,4,FALSE),"")</f>
        <v/>
      </c>
      <c r="P199" s="183" t="str">
        <f>IFERROR(VLOOKUP($A199,#REF!,5,FALSE),"")</f>
        <v/>
      </c>
      <c r="Q199" s="789" t="str">
        <f>IFERROR(VLOOKUP($A199,#REF!,6,FALSE),"")</f>
        <v/>
      </c>
      <c r="R199" s="183" t="str">
        <f>IFERROR(VLOOKUP($A199,#REF!,7,FALSE),"")</f>
        <v/>
      </c>
      <c r="S199" s="183"/>
      <c r="T199" s="184" t="str">
        <f>IFERROR(VLOOKUP($A199,#REF!,9,FALSE),"")</f>
        <v/>
      </c>
      <c r="U199" s="184" t="str">
        <f>IFERROR(VLOOKUP($A199,#REF!,10,FALSE),"")</f>
        <v/>
      </c>
      <c r="V199" s="184" t="str">
        <f>IFERROR(VLOOKUP($A199,#REF!,11,FALSE),"")</f>
        <v/>
      </c>
      <c r="W199" s="184" t="str">
        <f>IFERROR(VLOOKUP($A199,#REF!,12,FALSE),"")</f>
        <v/>
      </c>
      <c r="X199" s="184" t="str">
        <f>IFERROR(VLOOKUP($A199,#REF!,13,FALSE),"")</f>
        <v/>
      </c>
    </row>
    <row r="200" spans="1:24">
      <c r="A200" s="172">
        <v>198</v>
      </c>
      <c r="M200" s="182" t="str">
        <f>데이터입력!$AB$8</f>
        <v>00</v>
      </c>
      <c r="N200" s="185" t="str">
        <f>데이터입력!$AC$9</f>
        <v>일반사업[일반]</v>
      </c>
      <c r="O200" s="183" t="str">
        <f>IFERROR(VLOOKUP($A200,#REF!,4,FALSE),"")</f>
        <v/>
      </c>
      <c r="P200" s="183" t="str">
        <f>IFERROR(VLOOKUP($A200,#REF!,5,FALSE),"")</f>
        <v/>
      </c>
      <c r="Q200" s="789" t="str">
        <f>IFERROR(VLOOKUP($A200,#REF!,6,FALSE),"")</f>
        <v/>
      </c>
      <c r="R200" s="183" t="str">
        <f>IFERROR(VLOOKUP($A200,#REF!,7,FALSE),"")</f>
        <v/>
      </c>
      <c r="S200" s="183"/>
      <c r="T200" s="184" t="str">
        <f>IFERROR(VLOOKUP($A200,#REF!,9,FALSE),"")</f>
        <v/>
      </c>
      <c r="U200" s="184" t="str">
        <f>IFERROR(VLOOKUP($A200,#REF!,10,FALSE),"")</f>
        <v/>
      </c>
      <c r="V200" s="184" t="str">
        <f>IFERROR(VLOOKUP($A200,#REF!,11,FALSE),"")</f>
        <v/>
      </c>
      <c r="W200" s="184" t="str">
        <f>IFERROR(VLOOKUP($A200,#REF!,12,FALSE),"")</f>
        <v/>
      </c>
      <c r="X200" s="184" t="str">
        <f>IFERROR(VLOOKUP($A200,#REF!,13,FALSE),"")</f>
        <v/>
      </c>
    </row>
    <row r="201" spans="1:24">
      <c r="A201" s="172">
        <v>199</v>
      </c>
      <c r="M201" s="182" t="str">
        <f>데이터입력!$AB$8</f>
        <v>00</v>
      </c>
      <c r="N201" s="185" t="str">
        <f>데이터입력!$AC$9</f>
        <v>일반사업[일반]</v>
      </c>
      <c r="O201" s="183" t="str">
        <f>IFERROR(VLOOKUP($A201,#REF!,4,FALSE),"")</f>
        <v/>
      </c>
      <c r="P201" s="183" t="str">
        <f>IFERROR(VLOOKUP($A201,#REF!,5,FALSE),"")</f>
        <v/>
      </c>
      <c r="Q201" s="789" t="str">
        <f>IFERROR(VLOOKUP($A201,#REF!,6,FALSE),"")</f>
        <v/>
      </c>
      <c r="R201" s="183" t="str">
        <f>IFERROR(VLOOKUP($A201,#REF!,7,FALSE),"")</f>
        <v/>
      </c>
      <c r="S201" s="183"/>
      <c r="T201" s="184" t="str">
        <f>IFERROR(VLOOKUP($A201,#REF!,9,FALSE),"")</f>
        <v/>
      </c>
      <c r="U201" s="184" t="str">
        <f>IFERROR(VLOOKUP($A201,#REF!,10,FALSE),"")</f>
        <v/>
      </c>
      <c r="V201" s="184" t="str">
        <f>IFERROR(VLOOKUP($A201,#REF!,11,FALSE),"")</f>
        <v/>
      </c>
      <c r="W201" s="184" t="str">
        <f>IFERROR(VLOOKUP($A201,#REF!,12,FALSE),"")</f>
        <v/>
      </c>
      <c r="X201" s="184" t="str">
        <f>IFERROR(VLOOKUP($A201,#REF!,13,FALSE),"")</f>
        <v/>
      </c>
    </row>
    <row r="202" spans="1:24">
      <c r="A202" s="172">
        <v>200</v>
      </c>
      <c r="M202" s="182" t="str">
        <f>데이터입력!$AB$8</f>
        <v>00</v>
      </c>
      <c r="N202" s="185" t="str">
        <f>데이터입력!$AC$9</f>
        <v>일반사업[일반]</v>
      </c>
      <c r="O202" s="183" t="str">
        <f>IFERROR(VLOOKUP($A202,#REF!,4,FALSE),"")</f>
        <v/>
      </c>
      <c r="P202" s="183" t="str">
        <f>IFERROR(VLOOKUP($A202,#REF!,5,FALSE),"")</f>
        <v/>
      </c>
      <c r="Q202" s="789" t="str">
        <f>IFERROR(VLOOKUP($A202,#REF!,6,FALSE),"")</f>
        <v/>
      </c>
      <c r="R202" s="183" t="str">
        <f>IFERROR(VLOOKUP($A202,#REF!,7,FALSE),"")</f>
        <v/>
      </c>
      <c r="S202" s="183"/>
      <c r="T202" s="184" t="str">
        <f>IFERROR(VLOOKUP($A202,#REF!,9,FALSE),"")</f>
        <v/>
      </c>
      <c r="U202" s="184" t="str">
        <f>IFERROR(VLOOKUP($A202,#REF!,10,FALSE),"")</f>
        <v/>
      </c>
      <c r="V202" s="184" t="str">
        <f>IFERROR(VLOOKUP($A202,#REF!,11,FALSE),"")</f>
        <v/>
      </c>
      <c r="W202" s="184" t="str">
        <f>IFERROR(VLOOKUP($A202,#REF!,12,FALSE),"")</f>
        <v/>
      </c>
      <c r="X202" s="184" t="str">
        <f>IFERROR(VLOOKUP($A202,#REF!,13,FALSE),"")</f>
        <v/>
      </c>
    </row>
    <row r="203" spans="1:24">
      <c r="M203" s="192"/>
      <c r="N203" s="192"/>
      <c r="O203" s="192"/>
      <c r="P203" s="192"/>
      <c r="Q203" s="192"/>
      <c r="R203" s="192"/>
      <c r="S203" s="192"/>
      <c r="T203" s="192"/>
      <c r="U203" s="192"/>
      <c r="V203" s="192"/>
      <c r="W203" s="192"/>
      <c r="X203" s="192"/>
    </row>
    <row r="204" spans="1:24">
      <c r="M204" s="192"/>
      <c r="N204" s="192"/>
      <c r="O204" s="192"/>
      <c r="P204" s="192"/>
      <c r="Q204" s="192"/>
      <c r="R204" s="192"/>
      <c r="S204" s="192"/>
      <c r="T204" s="192"/>
      <c r="U204" s="192"/>
      <c r="V204" s="192"/>
      <c r="W204" s="192"/>
      <c r="X204" s="192"/>
    </row>
    <row r="205" spans="1:24">
      <c r="M205" s="192"/>
      <c r="N205" s="192"/>
      <c r="O205" s="192"/>
      <c r="P205" s="192"/>
      <c r="Q205" s="192"/>
      <c r="R205" s="192"/>
      <c r="S205" s="192"/>
      <c r="T205" s="192"/>
      <c r="U205" s="192"/>
      <c r="V205" s="192"/>
      <c r="W205" s="192"/>
      <c r="X205" s="192"/>
    </row>
    <row r="206" spans="1:24">
      <c r="M206" s="192"/>
      <c r="N206" s="192"/>
      <c r="O206" s="192"/>
      <c r="P206" s="192"/>
      <c r="Q206" s="192"/>
      <c r="R206" s="192"/>
      <c r="S206" s="192"/>
      <c r="T206" s="192"/>
      <c r="U206" s="192"/>
      <c r="V206" s="192"/>
      <c r="W206" s="192"/>
      <c r="X206" s="192"/>
    </row>
  </sheetData>
  <mergeCells count="2">
    <mergeCell ref="B1:K1"/>
    <mergeCell ref="M1:X1"/>
  </mergeCells>
  <phoneticPr fontId="1" type="noConversion"/>
  <conditionalFormatting sqref="E2 E165:E1048576">
    <cfRule type="duplicateValues" dxfId="12" priority="1"/>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C0E34-977A-49D5-A918-667F9A5F43BD}">
  <sheetPr>
    <tabColor theme="7"/>
  </sheetPr>
  <dimension ref="A1:AK206"/>
  <sheetViews>
    <sheetView topLeftCell="B1" workbookViewId="0">
      <selection activeCell="H24" sqref="H24"/>
    </sheetView>
  </sheetViews>
  <sheetFormatPr defaultRowHeight="16.5"/>
  <cols>
    <col min="1" max="1" width="4.625" style="189" hidden="1" customWidth="1"/>
    <col min="2" max="2" width="4.625" style="189" customWidth="1"/>
    <col min="3" max="3" width="15.375" style="190" customWidth="1"/>
    <col min="4" max="4" width="7.375" customWidth="1"/>
    <col min="5" max="5" width="14" customWidth="1"/>
    <col min="6" max="6" width="6.375" customWidth="1"/>
    <col min="7" max="8" width="14" customWidth="1"/>
    <col min="9" max="9" width="14" style="191" customWidth="1"/>
    <col min="10" max="12" width="4.5" customWidth="1"/>
    <col min="13" max="13" width="4.5" style="8" customWidth="1"/>
    <col min="14" max="14" width="4.625" style="189" hidden="1" customWidth="1"/>
    <col min="15" max="15" width="4.625" style="189" customWidth="1"/>
    <col min="16" max="16" width="15.375" style="190" customWidth="1"/>
    <col min="17" max="17" width="7.375" customWidth="1"/>
    <col min="18" max="18" width="14" customWidth="1"/>
    <col min="19" max="19" width="6.375" customWidth="1"/>
    <col min="20" max="20" width="14" customWidth="1"/>
    <col min="21" max="21" width="14" style="191" customWidth="1"/>
    <col min="22" max="25" width="4.5" customWidth="1"/>
    <col min="26" max="26" width="6.875" style="193" customWidth="1"/>
    <col min="27" max="27" width="20" style="193" customWidth="1"/>
    <col min="28" max="29" width="9" style="194"/>
    <col min="30" max="30" width="13" style="194" customWidth="1"/>
    <col min="31" max="31" width="9" style="194"/>
    <col min="32" max="32" width="7.25" style="194" customWidth="1"/>
    <col min="33" max="33" width="12" style="195" customWidth="1"/>
    <col min="34" max="37" width="12" style="196" customWidth="1"/>
  </cols>
  <sheetData>
    <row r="1" spans="1:37" ht="20.25">
      <c r="A1" s="602"/>
      <c r="B1" s="1622" t="s">
        <v>684</v>
      </c>
      <c r="C1" s="1622"/>
      <c r="D1" s="1622"/>
      <c r="E1" s="1622"/>
      <c r="F1" s="1622"/>
      <c r="G1" s="1622"/>
      <c r="H1" s="1622"/>
      <c r="I1" s="1622"/>
      <c r="J1" s="1622"/>
      <c r="K1" s="1622"/>
      <c r="L1" s="1622"/>
      <c r="M1" s="598"/>
      <c r="N1" s="602"/>
      <c r="O1" s="1623" t="s">
        <v>641</v>
      </c>
      <c r="P1" s="1623"/>
      <c r="Q1" s="1623"/>
      <c r="R1" s="1623"/>
      <c r="S1" s="1623"/>
      <c r="T1" s="1623"/>
      <c r="U1" s="1623"/>
      <c r="V1" s="1623"/>
      <c r="W1" s="1623"/>
      <c r="X1" s="1623"/>
      <c r="Y1" s="598"/>
      <c r="Z1" s="1621" t="s">
        <v>685</v>
      </c>
      <c r="AA1" s="1621"/>
      <c r="AB1" s="1621"/>
      <c r="AC1" s="1621"/>
      <c r="AD1" s="1621"/>
      <c r="AE1" s="1621"/>
      <c r="AF1" s="1621"/>
      <c r="AG1" s="1621"/>
      <c r="AH1" s="1621"/>
      <c r="AI1" s="1621"/>
      <c r="AJ1" s="1621"/>
      <c r="AK1" s="1621"/>
    </row>
    <row r="2" spans="1:37" ht="24">
      <c r="A2" s="173"/>
      <c r="B2" s="605" t="s">
        <v>452</v>
      </c>
      <c r="C2" s="606" t="s">
        <v>453</v>
      </c>
      <c r="D2" s="606" t="s">
        <v>2</v>
      </c>
      <c r="E2" s="606" t="s">
        <v>1</v>
      </c>
      <c r="F2" s="605" t="s">
        <v>474</v>
      </c>
      <c r="G2" s="606" t="s">
        <v>475</v>
      </c>
      <c r="H2" s="606" t="s">
        <v>642</v>
      </c>
      <c r="I2" s="607" t="s">
        <v>643</v>
      </c>
      <c r="J2" s="606" t="s">
        <v>476</v>
      </c>
      <c r="K2" s="606" t="s">
        <v>477</v>
      </c>
      <c r="L2" s="606" t="s">
        <v>478</v>
      </c>
      <c r="M2" s="603"/>
      <c r="N2" s="173"/>
      <c r="O2" s="613" t="s">
        <v>452</v>
      </c>
      <c r="P2" s="614" t="s">
        <v>453</v>
      </c>
      <c r="Q2" s="614" t="s">
        <v>2</v>
      </c>
      <c r="R2" s="614" t="s">
        <v>1</v>
      </c>
      <c r="S2" s="613" t="s">
        <v>474</v>
      </c>
      <c r="T2" s="614" t="s">
        <v>475</v>
      </c>
      <c r="U2" s="615" t="s">
        <v>207</v>
      </c>
      <c r="V2" s="614" t="s">
        <v>476</v>
      </c>
      <c r="W2" s="614" t="s">
        <v>477</v>
      </c>
      <c r="X2" s="614" t="s">
        <v>478</v>
      </c>
      <c r="Y2" s="599"/>
      <c r="Z2" s="178" t="s">
        <v>452</v>
      </c>
      <c r="AA2" s="178" t="s">
        <v>453</v>
      </c>
      <c r="AB2" s="178" t="s">
        <v>454</v>
      </c>
      <c r="AC2" s="178" t="s">
        <v>249</v>
      </c>
      <c r="AD2" s="178" t="s">
        <v>247</v>
      </c>
      <c r="AE2" s="178" t="s">
        <v>455</v>
      </c>
      <c r="AF2" s="178" t="s">
        <v>456</v>
      </c>
      <c r="AG2" s="179" t="s">
        <v>250</v>
      </c>
      <c r="AH2" s="179" t="s">
        <v>431</v>
      </c>
      <c r="AI2" s="179" t="s">
        <v>432</v>
      </c>
      <c r="AJ2" s="179" t="s">
        <v>457</v>
      </c>
      <c r="AK2" s="179" t="s">
        <v>458</v>
      </c>
    </row>
    <row r="3" spans="1:37">
      <c r="A3" s="180">
        <v>1</v>
      </c>
      <c r="B3" s="608" t="str">
        <f>IFERROR(IF(F3="06",데이터입력!$AB$8,IF(F3="07",데이터입력!$AD$8,IF(F3="05",데이터입력!$AF$8,데이터입력!$AB$8))),데이터입력!$AB$8)</f>
        <v>00</v>
      </c>
      <c r="C3" s="609" t="str">
        <f>데이터입력!$AC$9</f>
        <v>일반사업[일반]</v>
      </c>
      <c r="D3" s="610" t="str">
        <f>IFERROR(IF(AND(데이터입력!$AE$2="추경",데이터입력!$AM$2=TRUE),VLOOKUP($A3,데이터입력!$A:$H,4,FALSE),""),"")</f>
        <v/>
      </c>
      <c r="E3" s="610" t="str">
        <f>IFERROR(IF(AND(데이터입력!$AE$2="추경",데이터입력!$AM$2=TRUE),VLOOKUP($A3,데이터입력!$A:$H,2,FALSE),""),"")</f>
        <v/>
      </c>
      <c r="F3" s="610" t="str">
        <f>IFERROR(IF(AND(데이터입력!$AE$2="추경",데이터입력!$AM$2=TRUE),VLOOKUP($A3,데이터입력!$A:$H,5,FALSE),""),"")</f>
        <v/>
      </c>
      <c r="G3" s="610" t="str">
        <f>IFERROR(IF(AND(데이터입력!$AE$2="추경",데이터입력!$AM$2=TRUE),VLOOKUP($A3,데이터입력!$A:$H,6,FALSE),""),"")</f>
        <v/>
      </c>
      <c r="H3" s="611" t="str">
        <f>IFERROR(IF(AND(데이터입력!$AE$2="추경",데이터입력!$AM$2=TRUE),VLOOKUP($A3,데이터입력!$A:$L,7,FALSE),""),"")</f>
        <v/>
      </c>
      <c r="I3" s="611" t="str">
        <f>IFERROR(IF(AND(데이터입력!$AE$2="추경",데이터입력!$AM$2=TRUE),VLOOKUP($A3,데이터입력!$A:$L,8,FALSE)+VLOOKUP($A3,데이터입력!$A:$L,9,FALSE)+VLOOKUP($A3,데이터입력!$A:$L,10,FALSE),""),"")</f>
        <v/>
      </c>
      <c r="J3" s="612" t="s">
        <v>135</v>
      </c>
      <c r="K3" s="612" t="s">
        <v>135</v>
      </c>
      <c r="L3" s="612" t="s">
        <v>135</v>
      </c>
      <c r="M3" s="604"/>
      <c r="N3" s="180">
        <v>201</v>
      </c>
      <c r="O3" s="616" t="str">
        <f>IFERROR(IF(S3="06",데이터입력!$AB$8,IF(S3="07",데이터입력!$AD$8,IF(S3="05",데이터입력!$AF$8,데이터입력!$AB$8))),데이터입력!$AB$8)</f>
        <v>00</v>
      </c>
      <c r="P3" s="617" t="str">
        <f>데이터입력!$AC$9</f>
        <v>일반사업[일반]</v>
      </c>
      <c r="Q3" s="618" t="str">
        <f>IFERROR(IF(데이터입력!$AE$2="추경",VLOOKUP($N3,데이터입력!$A:$H,4,FALSE),""),"")</f>
        <v/>
      </c>
      <c r="R3" s="618" t="str">
        <f>IFERROR(IF(데이터입력!$AE$2="추경",VLOOKUP($N3,데이터입력!$A:$H,2,FALSE),""),"")</f>
        <v/>
      </c>
      <c r="S3" s="618" t="str">
        <f>IFERROR(IF(데이터입력!$AE$2="추경",VLOOKUP($N3,데이터입력!$A:$H,5,FALSE),""),"")</f>
        <v/>
      </c>
      <c r="T3" s="618" t="str">
        <f>IFERROR(IF(데이터입력!$AE$2="추경",VLOOKUP($N3,데이터입력!$A:$H,6,FALSE),""),"")</f>
        <v/>
      </c>
      <c r="U3" s="619" t="str">
        <f>IFERROR(IF(데이터입력!$AE$2="추경",VLOOKUP($N3,데이터입력!$A:$L,8,FALSE)+VLOOKUP($N3,데이터입력!$A:$L,9,FALSE)+VLOOKUP($N3,데이터입력!$A:$L,10,FALSE),""),"")</f>
        <v/>
      </c>
      <c r="V3" s="620" t="s">
        <v>135</v>
      </c>
      <c r="W3" s="620" t="s">
        <v>135</v>
      </c>
      <c r="X3" s="620" t="s">
        <v>135</v>
      </c>
      <c r="Y3" s="600"/>
      <c r="Z3" s="182" t="str">
        <f>데이터입력!$AB$8</f>
        <v>00</v>
      </c>
      <c r="AA3" s="185" t="str">
        <f>데이터입력!$AC$9</f>
        <v>일반사업[일반]</v>
      </c>
      <c r="AB3" s="183" t="str">
        <f>IFERROR(IF(데이터입력!$AE$2="추경",VLOOKUP($A3,#REF!,4,FALSE),""),"")</f>
        <v/>
      </c>
      <c r="AC3" s="183" t="str">
        <f>IFERROR(IF(데이터입력!$AE$2="추경",VLOOKUP($A3,#REF!,5,FALSE),""),"")</f>
        <v/>
      </c>
      <c r="AD3" s="183" t="str">
        <f>IFERROR(IF(데이터입력!$AE$2="추경",VLOOKUP($A3,#REF!,6,FALSE),""),"")</f>
        <v/>
      </c>
      <c r="AE3" s="183" t="str">
        <f>IFERROR(IF(데이터입력!$AE$2="추경",VLOOKUP($A3,#REF!,7,FALSE),""),"")</f>
        <v/>
      </c>
      <c r="AF3" s="183"/>
      <c r="AG3" s="184" t="str">
        <f>IFERROR(IF(데이터입력!$AE$2="추경",VLOOKUP($A3,#REF!,9,FALSE),""),"")</f>
        <v/>
      </c>
      <c r="AH3" s="184" t="str">
        <f>IFERROR(IF(데이터입력!$AE$2="추경",VLOOKUP($A3,#REF!,10,FALSE),""),"")</f>
        <v/>
      </c>
      <c r="AI3" s="184" t="str">
        <f>IFERROR(IF(데이터입력!$AE$2="추경",VLOOKUP($A3,#REF!,11,FALSE),""),"")</f>
        <v/>
      </c>
      <c r="AJ3" s="184" t="str">
        <f>IFERROR(IF(데이터입력!$AE$2="추경",VLOOKUP($A3,#REF!,12,FALSE),""),"")</f>
        <v/>
      </c>
      <c r="AK3" s="184" t="str">
        <f>IFERROR(IF(데이터입력!$AE$2="추경",VLOOKUP($A3,#REF!,13,FALSE),""),"")</f>
        <v/>
      </c>
    </row>
    <row r="4" spans="1:37">
      <c r="A4" s="180">
        <v>2</v>
      </c>
      <c r="B4" s="608" t="str">
        <f>IFERROR(IF(F4="06",데이터입력!$AB$8,IF(F4="07",데이터입력!$AD$8,IF(F4="05",데이터입력!$AF$8,데이터입력!$AB$8))),데이터입력!$AB$8)</f>
        <v>00</v>
      </c>
      <c r="C4" s="609" t="str">
        <f>데이터입력!$AC$9</f>
        <v>일반사업[일반]</v>
      </c>
      <c r="D4" s="610" t="str">
        <f>IFERROR(IF(AND(데이터입력!$AE$2="추경",데이터입력!$AM$2=TRUE),VLOOKUP($A4,데이터입력!$A:$H,4,FALSE),""),"")</f>
        <v/>
      </c>
      <c r="E4" s="610" t="str">
        <f>IFERROR(IF(AND(데이터입력!$AE$2="추경",데이터입력!$AM$2=TRUE),VLOOKUP($A4,데이터입력!$A:$H,2,FALSE),""),"")</f>
        <v/>
      </c>
      <c r="F4" s="610" t="str">
        <f>IFERROR(IF(AND(데이터입력!$AE$2="추경",데이터입력!$AM$2=TRUE),VLOOKUP($A4,데이터입력!$A:$H,5,FALSE),""),"")</f>
        <v/>
      </c>
      <c r="G4" s="610" t="str">
        <f>IFERROR(IF(AND(데이터입력!$AE$2="추경",데이터입력!$AM$2=TRUE),VLOOKUP($A4,데이터입력!$A:$H,6,FALSE),""),"")</f>
        <v/>
      </c>
      <c r="H4" s="611" t="str">
        <f>IFERROR(IF(AND(데이터입력!$AE$2="추경",데이터입력!$AM$2=TRUE),VLOOKUP($A4,데이터입력!$A:$L,7,FALSE),""),"")</f>
        <v/>
      </c>
      <c r="I4" s="611" t="str">
        <f>IFERROR(IF(AND(데이터입력!$AE$2="추경",데이터입력!$AM$2=TRUE),VLOOKUP($A4,데이터입력!$A:$L,8,FALSE)+VLOOKUP($A4,데이터입력!$A:$L,9,FALSE)+VLOOKUP($A4,데이터입력!$A:$L,10,FALSE),""),"")</f>
        <v/>
      </c>
      <c r="J4" s="612" t="s">
        <v>135</v>
      </c>
      <c r="K4" s="612" t="s">
        <v>135</v>
      </c>
      <c r="L4" s="612" t="s">
        <v>135</v>
      </c>
      <c r="M4" s="604"/>
      <c r="N4" s="180">
        <v>202</v>
      </c>
      <c r="O4" s="616" t="str">
        <f>IFERROR(IF(S4="06",데이터입력!$AB$8,IF(S4="07",데이터입력!$AD$8,IF(S4="05",데이터입력!$AF$8,데이터입력!$AB$8))),데이터입력!$AB$8)</f>
        <v>00</v>
      </c>
      <c r="P4" s="617" t="str">
        <f>데이터입력!$AC$9</f>
        <v>일반사업[일반]</v>
      </c>
      <c r="Q4" s="618" t="str">
        <f>IFERROR(IF(데이터입력!$AE$2="추경",VLOOKUP($N4,데이터입력!$A:$H,4,FALSE),""),"")</f>
        <v/>
      </c>
      <c r="R4" s="618" t="str">
        <f>IFERROR(IF(데이터입력!$AE$2="추경",VLOOKUP($N4,데이터입력!$A:$H,2,FALSE),""),"")</f>
        <v/>
      </c>
      <c r="S4" s="618" t="str">
        <f>IFERROR(IF(데이터입력!$AE$2="추경",VLOOKUP($N4,데이터입력!$A:$H,5,FALSE),""),"")</f>
        <v/>
      </c>
      <c r="T4" s="618" t="str">
        <f>IFERROR(IF(데이터입력!$AE$2="추경",VLOOKUP($N4,데이터입력!$A:$H,6,FALSE),""),"")</f>
        <v/>
      </c>
      <c r="U4" s="619" t="str">
        <f>IFERROR(IF(데이터입력!$AE$2="추경",VLOOKUP($N4,데이터입력!$A:$L,8,FALSE)+VLOOKUP($N4,데이터입력!$A:$L,9,FALSE)+VLOOKUP($N4,데이터입력!$A:$L,10,FALSE),""),"")</f>
        <v/>
      </c>
      <c r="V4" s="620" t="s">
        <v>135</v>
      </c>
      <c r="W4" s="620" t="s">
        <v>135</v>
      </c>
      <c r="X4" s="620" t="s">
        <v>135</v>
      </c>
      <c r="Y4" s="600"/>
      <c r="Z4" s="182" t="str">
        <f>데이터입력!$AB$8</f>
        <v>00</v>
      </c>
      <c r="AA4" s="185" t="str">
        <f>데이터입력!$AC$9</f>
        <v>일반사업[일반]</v>
      </c>
      <c r="AB4" s="183" t="str">
        <f>IFERROR(IF(데이터입력!$AE$2="추경",VLOOKUP($A4,#REF!,4,FALSE),""),"")</f>
        <v/>
      </c>
      <c r="AC4" s="183" t="str">
        <f>IFERROR(IF(데이터입력!$AE$2="추경",VLOOKUP($A4,#REF!,5,FALSE),""),"")</f>
        <v/>
      </c>
      <c r="AD4" s="183" t="str">
        <f>IFERROR(IF(데이터입력!$AE$2="추경",VLOOKUP($A4,#REF!,6,FALSE),""),"")</f>
        <v/>
      </c>
      <c r="AE4" s="183" t="str">
        <f>IFERROR(IF(데이터입력!$AE$2="추경",VLOOKUP($A4,#REF!,7,FALSE),""),"")</f>
        <v/>
      </c>
      <c r="AF4" s="183"/>
      <c r="AG4" s="184" t="str">
        <f>IFERROR(IF(데이터입력!$AE$2="추경",VLOOKUP($A4,#REF!,9,FALSE),""),"")</f>
        <v/>
      </c>
      <c r="AH4" s="184" t="str">
        <f>IFERROR(IF(데이터입력!$AE$2="추경",VLOOKUP($A4,#REF!,10,FALSE),""),"")</f>
        <v/>
      </c>
      <c r="AI4" s="184" t="str">
        <f>IFERROR(IF(데이터입력!$AE$2="추경",VLOOKUP($A4,#REF!,11,FALSE),""),"")</f>
        <v/>
      </c>
      <c r="AJ4" s="184" t="str">
        <f>IFERROR(IF(데이터입력!$AE$2="추경",VLOOKUP($A4,#REF!,12,FALSE),""),"")</f>
        <v/>
      </c>
      <c r="AK4" s="184" t="str">
        <f>IFERROR(IF(데이터입력!$AE$2="추경",VLOOKUP($A4,#REF!,13,FALSE),""),"")</f>
        <v/>
      </c>
    </row>
    <row r="5" spans="1:37">
      <c r="A5" s="180">
        <v>3</v>
      </c>
      <c r="B5" s="608" t="str">
        <f>IFERROR(IF(F5="06",데이터입력!$AB$8,IF(F5="07",데이터입력!$AD$8,IF(F5="05",데이터입력!$AF$8,데이터입력!$AB$8))),데이터입력!$AB$8)</f>
        <v>00</v>
      </c>
      <c r="C5" s="609" t="str">
        <f>데이터입력!$AC$9</f>
        <v>일반사업[일반]</v>
      </c>
      <c r="D5" s="610" t="str">
        <f>IFERROR(IF(AND(데이터입력!$AE$2="추경",데이터입력!$AM$2=TRUE),VLOOKUP($A5,데이터입력!$A:$H,4,FALSE),""),"")</f>
        <v/>
      </c>
      <c r="E5" s="610" t="str">
        <f>IFERROR(IF(AND(데이터입력!$AE$2="추경",데이터입력!$AM$2=TRUE),VLOOKUP($A5,데이터입력!$A:$H,2,FALSE),""),"")</f>
        <v/>
      </c>
      <c r="F5" s="610" t="str">
        <f>IFERROR(IF(AND(데이터입력!$AE$2="추경",데이터입력!$AM$2=TRUE),VLOOKUP($A5,데이터입력!$A:$H,5,FALSE),""),"")</f>
        <v/>
      </c>
      <c r="G5" s="610" t="str">
        <f>IFERROR(IF(AND(데이터입력!$AE$2="추경",데이터입력!$AM$2=TRUE),VLOOKUP($A5,데이터입력!$A:$H,6,FALSE),""),"")</f>
        <v/>
      </c>
      <c r="H5" s="611" t="str">
        <f>IFERROR(IF(AND(데이터입력!$AE$2="추경",데이터입력!$AM$2=TRUE),VLOOKUP($A5,데이터입력!$A:$L,7,FALSE),""),"")</f>
        <v/>
      </c>
      <c r="I5" s="611" t="str">
        <f>IFERROR(IF(AND(데이터입력!$AE$2="추경",데이터입력!$AM$2=TRUE),VLOOKUP($A5,데이터입력!$A:$L,8,FALSE)+VLOOKUP($A5,데이터입력!$A:$L,9,FALSE)+VLOOKUP($A5,데이터입력!$A:$L,10,FALSE),""),"")</f>
        <v/>
      </c>
      <c r="J5" s="612" t="s">
        <v>135</v>
      </c>
      <c r="K5" s="612" t="s">
        <v>135</v>
      </c>
      <c r="L5" s="612" t="s">
        <v>135</v>
      </c>
      <c r="M5" s="604"/>
      <c r="N5" s="180">
        <v>203</v>
      </c>
      <c r="O5" s="616" t="str">
        <f>IFERROR(IF(S5="06",데이터입력!$AB$8,IF(S5="07",데이터입력!$AD$8,IF(S5="05",데이터입력!$AF$8,데이터입력!$AB$8))),데이터입력!$AB$8)</f>
        <v>00</v>
      </c>
      <c r="P5" s="617" t="str">
        <f>데이터입력!$AC$9</f>
        <v>일반사업[일반]</v>
      </c>
      <c r="Q5" s="618" t="str">
        <f>IFERROR(IF(데이터입력!$AE$2="추경",VLOOKUP($N5,데이터입력!$A:$H,4,FALSE),""),"")</f>
        <v/>
      </c>
      <c r="R5" s="618" t="str">
        <f>IFERROR(IF(데이터입력!$AE$2="추경",VLOOKUP($N5,데이터입력!$A:$H,2,FALSE),""),"")</f>
        <v/>
      </c>
      <c r="S5" s="618" t="str">
        <f>IFERROR(IF(데이터입력!$AE$2="추경",VLOOKUP($N5,데이터입력!$A:$H,5,FALSE),""),"")</f>
        <v/>
      </c>
      <c r="T5" s="618" t="str">
        <f>IFERROR(IF(데이터입력!$AE$2="추경",VLOOKUP($N5,데이터입력!$A:$H,6,FALSE),""),"")</f>
        <v/>
      </c>
      <c r="U5" s="619" t="str">
        <f>IFERROR(IF(데이터입력!$AE$2="추경",VLOOKUP($N5,데이터입력!$A:$L,8,FALSE)+VLOOKUP($N5,데이터입력!$A:$L,9,FALSE)+VLOOKUP($N5,데이터입력!$A:$L,10,FALSE),""),"")</f>
        <v/>
      </c>
      <c r="V5" s="620" t="s">
        <v>135</v>
      </c>
      <c r="W5" s="620" t="s">
        <v>135</v>
      </c>
      <c r="X5" s="620" t="s">
        <v>135</v>
      </c>
      <c r="Y5" s="600"/>
      <c r="Z5" s="182" t="str">
        <f>데이터입력!$AB$8</f>
        <v>00</v>
      </c>
      <c r="AA5" s="185" t="str">
        <f>데이터입력!$AC$9</f>
        <v>일반사업[일반]</v>
      </c>
      <c r="AB5" s="183" t="str">
        <f>IFERROR(IF(데이터입력!$AE$2="추경",VLOOKUP($A5,#REF!,4,FALSE),""),"")</f>
        <v/>
      </c>
      <c r="AC5" s="183" t="str">
        <f>IFERROR(IF(데이터입력!$AE$2="추경",VLOOKUP($A5,#REF!,5,FALSE),""),"")</f>
        <v/>
      </c>
      <c r="AD5" s="183" t="str">
        <f>IFERROR(IF(데이터입력!$AE$2="추경",VLOOKUP($A5,#REF!,6,FALSE),""),"")</f>
        <v/>
      </c>
      <c r="AE5" s="183" t="str">
        <f>IFERROR(IF(데이터입력!$AE$2="추경",VLOOKUP($A5,#REF!,7,FALSE),""),"")</f>
        <v/>
      </c>
      <c r="AF5" s="183"/>
      <c r="AG5" s="184" t="str">
        <f>IFERROR(IF(데이터입력!$AE$2="추경",VLOOKUP($A5,#REF!,9,FALSE),""),"")</f>
        <v/>
      </c>
      <c r="AH5" s="184" t="str">
        <f>IFERROR(IF(데이터입력!$AE$2="추경",VLOOKUP($A5,#REF!,10,FALSE),""),"")</f>
        <v/>
      </c>
      <c r="AI5" s="184" t="str">
        <f>IFERROR(IF(데이터입력!$AE$2="추경",VLOOKUP($A5,#REF!,11,FALSE),""),"")</f>
        <v/>
      </c>
      <c r="AJ5" s="184" t="str">
        <f>IFERROR(IF(데이터입력!$AE$2="추경",VLOOKUP($A5,#REF!,12,FALSE),""),"")</f>
        <v/>
      </c>
      <c r="AK5" s="184" t="str">
        <f>IFERROR(IF(데이터입력!$AE$2="추경",VLOOKUP($A5,#REF!,13,FALSE),""),"")</f>
        <v/>
      </c>
    </row>
    <row r="6" spans="1:37">
      <c r="A6" s="180">
        <v>4</v>
      </c>
      <c r="B6" s="608" t="str">
        <f>IFERROR(IF(F6="06",데이터입력!$AB$8,IF(F6="07",데이터입력!$AD$8,IF(F6="05",데이터입력!$AF$8,데이터입력!$AB$8))),데이터입력!$AB$8)</f>
        <v>00</v>
      </c>
      <c r="C6" s="609" t="str">
        <f>데이터입력!$AC$9</f>
        <v>일반사업[일반]</v>
      </c>
      <c r="D6" s="610" t="str">
        <f>IFERROR(IF(AND(데이터입력!$AE$2="추경",데이터입력!$AM$2=TRUE),VLOOKUP($A6,데이터입력!$A:$H,4,FALSE),""),"")</f>
        <v/>
      </c>
      <c r="E6" s="610" t="str">
        <f>IFERROR(IF(AND(데이터입력!$AE$2="추경",데이터입력!$AM$2=TRUE),VLOOKUP($A6,데이터입력!$A:$H,2,FALSE),""),"")</f>
        <v/>
      </c>
      <c r="F6" s="610" t="str">
        <f>IFERROR(IF(AND(데이터입력!$AE$2="추경",데이터입력!$AM$2=TRUE),VLOOKUP($A6,데이터입력!$A:$H,5,FALSE),""),"")</f>
        <v/>
      </c>
      <c r="G6" s="610" t="str">
        <f>IFERROR(IF(AND(데이터입력!$AE$2="추경",데이터입력!$AM$2=TRUE),VLOOKUP($A6,데이터입력!$A:$H,6,FALSE),""),"")</f>
        <v/>
      </c>
      <c r="H6" s="611" t="str">
        <f>IFERROR(IF(AND(데이터입력!$AE$2="추경",데이터입력!$AM$2=TRUE),VLOOKUP($A6,데이터입력!$A:$L,7,FALSE),""),"")</f>
        <v/>
      </c>
      <c r="I6" s="611" t="str">
        <f>IFERROR(IF(AND(데이터입력!$AE$2="추경",데이터입력!$AM$2=TRUE),VLOOKUP($A6,데이터입력!$A:$L,8,FALSE)+VLOOKUP($A6,데이터입력!$A:$L,9,FALSE)+VLOOKUP($A6,데이터입력!$A:$L,10,FALSE),""),"")</f>
        <v/>
      </c>
      <c r="J6" s="612" t="s">
        <v>135</v>
      </c>
      <c r="K6" s="612" t="s">
        <v>135</v>
      </c>
      <c r="L6" s="612" t="s">
        <v>135</v>
      </c>
      <c r="M6" s="604"/>
      <c r="N6" s="180">
        <v>204</v>
      </c>
      <c r="O6" s="616" t="str">
        <f>IFERROR(IF(S6="06",데이터입력!$AB$8,IF(S6="07",데이터입력!$AD$8,IF(S6="05",데이터입력!$AF$8,데이터입력!$AB$8))),데이터입력!$AB$8)</f>
        <v>00</v>
      </c>
      <c r="P6" s="617" t="str">
        <f>데이터입력!$AC$9</f>
        <v>일반사업[일반]</v>
      </c>
      <c r="Q6" s="618" t="str">
        <f>IFERROR(IF(데이터입력!$AE$2="추경",VLOOKUP($N6,데이터입력!$A:$H,4,FALSE),""),"")</f>
        <v/>
      </c>
      <c r="R6" s="618" t="str">
        <f>IFERROR(IF(데이터입력!$AE$2="추경",VLOOKUP($N6,데이터입력!$A:$H,2,FALSE),""),"")</f>
        <v/>
      </c>
      <c r="S6" s="618" t="str">
        <f>IFERROR(IF(데이터입력!$AE$2="추경",VLOOKUP($N6,데이터입력!$A:$H,5,FALSE),""),"")</f>
        <v/>
      </c>
      <c r="T6" s="618" t="str">
        <f>IFERROR(IF(데이터입력!$AE$2="추경",VLOOKUP($N6,데이터입력!$A:$H,6,FALSE),""),"")</f>
        <v/>
      </c>
      <c r="U6" s="619" t="str">
        <f>IFERROR(IF(데이터입력!$AE$2="추경",VLOOKUP($N6,데이터입력!$A:$L,8,FALSE)+VLOOKUP($N6,데이터입력!$A:$L,9,FALSE)+VLOOKUP($N6,데이터입력!$A:$L,10,FALSE),""),"")</f>
        <v/>
      </c>
      <c r="V6" s="620" t="s">
        <v>135</v>
      </c>
      <c r="W6" s="620" t="s">
        <v>135</v>
      </c>
      <c r="X6" s="620" t="s">
        <v>135</v>
      </c>
      <c r="Y6" s="600"/>
      <c r="Z6" s="182" t="str">
        <f>데이터입력!$AB$8</f>
        <v>00</v>
      </c>
      <c r="AA6" s="185" t="str">
        <f>데이터입력!$AC$9</f>
        <v>일반사업[일반]</v>
      </c>
      <c r="AB6" s="183" t="str">
        <f>IFERROR(IF(데이터입력!$AE$2="추경",VLOOKUP($A6,#REF!,4,FALSE),""),"")</f>
        <v/>
      </c>
      <c r="AC6" s="183" t="str">
        <f>IFERROR(IF(데이터입력!$AE$2="추경",VLOOKUP($A6,#REF!,5,FALSE),""),"")</f>
        <v/>
      </c>
      <c r="AD6" s="183" t="str">
        <f>IFERROR(IF(데이터입력!$AE$2="추경",VLOOKUP($A6,#REF!,6,FALSE),""),"")</f>
        <v/>
      </c>
      <c r="AE6" s="183" t="str">
        <f>IFERROR(IF(데이터입력!$AE$2="추경",VLOOKUP($A6,#REF!,7,FALSE),""),"")</f>
        <v/>
      </c>
      <c r="AF6" s="183"/>
      <c r="AG6" s="184" t="str">
        <f>IFERROR(IF(데이터입력!$AE$2="추경",VLOOKUP($A6,#REF!,9,FALSE),""),"")</f>
        <v/>
      </c>
      <c r="AH6" s="184" t="str">
        <f>IFERROR(IF(데이터입력!$AE$2="추경",VLOOKUP($A6,#REF!,10,FALSE),""),"")</f>
        <v/>
      </c>
      <c r="AI6" s="184" t="str">
        <f>IFERROR(IF(데이터입력!$AE$2="추경",VLOOKUP($A6,#REF!,11,FALSE),""),"")</f>
        <v/>
      </c>
      <c r="AJ6" s="184" t="str">
        <f>IFERROR(IF(데이터입력!$AE$2="추경",VLOOKUP($A6,#REF!,12,FALSE),""),"")</f>
        <v/>
      </c>
      <c r="AK6" s="184" t="str">
        <f>IFERROR(IF(데이터입력!$AE$2="추경",VLOOKUP($A6,#REF!,13,FALSE),""),"")</f>
        <v/>
      </c>
    </row>
    <row r="7" spans="1:37">
      <c r="A7" s="180">
        <v>5</v>
      </c>
      <c r="B7" s="608" t="str">
        <f>IFERROR(IF(F7="06",데이터입력!$AB$8,IF(F7="07",데이터입력!$AD$8,IF(F7="05",데이터입력!$AF$8,데이터입력!$AB$8))),데이터입력!$AB$8)</f>
        <v>00</v>
      </c>
      <c r="C7" s="609" t="str">
        <f>데이터입력!$AC$9</f>
        <v>일반사업[일반]</v>
      </c>
      <c r="D7" s="610" t="str">
        <f>IFERROR(IF(AND(데이터입력!$AE$2="추경",데이터입력!$AM$2=TRUE),VLOOKUP($A7,데이터입력!$A:$H,4,FALSE),""),"")</f>
        <v/>
      </c>
      <c r="E7" s="610" t="str">
        <f>IFERROR(IF(AND(데이터입력!$AE$2="추경",데이터입력!$AM$2=TRUE),VLOOKUP($A7,데이터입력!$A:$H,2,FALSE),""),"")</f>
        <v/>
      </c>
      <c r="F7" s="610" t="str">
        <f>IFERROR(IF(AND(데이터입력!$AE$2="추경",데이터입력!$AM$2=TRUE),VLOOKUP($A7,데이터입력!$A:$H,5,FALSE),""),"")</f>
        <v/>
      </c>
      <c r="G7" s="610" t="str">
        <f>IFERROR(IF(AND(데이터입력!$AE$2="추경",데이터입력!$AM$2=TRUE),VLOOKUP($A7,데이터입력!$A:$H,6,FALSE),""),"")</f>
        <v/>
      </c>
      <c r="H7" s="611" t="str">
        <f>IFERROR(IF(AND(데이터입력!$AE$2="추경",데이터입력!$AM$2=TRUE),VLOOKUP($A7,데이터입력!$A:$L,7,FALSE),""),"")</f>
        <v/>
      </c>
      <c r="I7" s="611" t="str">
        <f>IFERROR(IF(AND(데이터입력!$AE$2="추경",데이터입력!$AM$2=TRUE),VLOOKUP($A7,데이터입력!$A:$L,8,FALSE)+VLOOKUP($A7,데이터입력!$A:$L,9,FALSE)+VLOOKUP($A7,데이터입력!$A:$L,10,FALSE),""),"")</f>
        <v/>
      </c>
      <c r="J7" s="612" t="s">
        <v>135</v>
      </c>
      <c r="K7" s="612" t="s">
        <v>135</v>
      </c>
      <c r="L7" s="612" t="s">
        <v>135</v>
      </c>
      <c r="M7" s="604"/>
      <c r="N7" s="180">
        <v>205</v>
      </c>
      <c r="O7" s="616" t="str">
        <f>IFERROR(IF(S7="06",데이터입력!$AB$8,IF(S7="07",데이터입력!$AD$8,IF(S7="05",데이터입력!$AF$8,데이터입력!$AB$8))),데이터입력!$AB$8)</f>
        <v>00</v>
      </c>
      <c r="P7" s="617" t="str">
        <f>데이터입력!$AC$9</f>
        <v>일반사업[일반]</v>
      </c>
      <c r="Q7" s="618" t="str">
        <f>IFERROR(IF(데이터입력!$AE$2="추경",VLOOKUP($N7,데이터입력!$A:$H,4,FALSE),""),"")</f>
        <v/>
      </c>
      <c r="R7" s="618" t="str">
        <f>IFERROR(IF(데이터입력!$AE$2="추경",VLOOKUP($N7,데이터입력!$A:$H,2,FALSE),""),"")</f>
        <v/>
      </c>
      <c r="S7" s="618" t="str">
        <f>IFERROR(IF(데이터입력!$AE$2="추경",VLOOKUP($N7,데이터입력!$A:$H,5,FALSE),""),"")</f>
        <v/>
      </c>
      <c r="T7" s="618" t="str">
        <f>IFERROR(IF(데이터입력!$AE$2="추경",VLOOKUP($N7,데이터입력!$A:$H,6,FALSE),""),"")</f>
        <v/>
      </c>
      <c r="U7" s="619" t="str">
        <f>IFERROR(IF(데이터입력!$AE$2="추경",VLOOKUP($N7,데이터입력!$A:$L,8,FALSE)+VLOOKUP($N7,데이터입력!$A:$L,9,FALSE)+VLOOKUP($N7,데이터입력!$A:$L,10,FALSE),""),"")</f>
        <v/>
      </c>
      <c r="V7" s="620" t="s">
        <v>135</v>
      </c>
      <c r="W7" s="620" t="s">
        <v>135</v>
      </c>
      <c r="X7" s="620" t="s">
        <v>135</v>
      </c>
      <c r="Y7" s="601"/>
      <c r="Z7" s="182" t="str">
        <f>데이터입력!$AB$8</f>
        <v>00</v>
      </c>
      <c r="AA7" s="185" t="str">
        <f>데이터입력!$AC$9</f>
        <v>일반사업[일반]</v>
      </c>
      <c r="AB7" s="183" t="str">
        <f>IFERROR(IF(데이터입력!$AE$2="추경",VLOOKUP($A7,#REF!,4,FALSE),""),"")</f>
        <v/>
      </c>
      <c r="AC7" s="183" t="str">
        <f>IFERROR(IF(데이터입력!$AE$2="추경",VLOOKUP($A7,#REF!,5,FALSE),""),"")</f>
        <v/>
      </c>
      <c r="AD7" s="183" t="str">
        <f>IFERROR(IF(데이터입력!$AE$2="추경",VLOOKUP($A7,#REF!,6,FALSE),""),"")</f>
        <v/>
      </c>
      <c r="AE7" s="183" t="str">
        <f>IFERROR(IF(데이터입력!$AE$2="추경",VLOOKUP($A7,#REF!,7,FALSE),""),"")</f>
        <v/>
      </c>
      <c r="AF7" s="183"/>
      <c r="AG7" s="184" t="str">
        <f>IFERROR(IF(데이터입력!$AE$2="추경",VLOOKUP($A7,#REF!,9,FALSE),""),"")</f>
        <v/>
      </c>
      <c r="AH7" s="184" t="str">
        <f>IFERROR(IF(데이터입력!$AE$2="추경",VLOOKUP($A7,#REF!,10,FALSE),""),"")</f>
        <v/>
      </c>
      <c r="AI7" s="184" t="str">
        <f>IFERROR(IF(데이터입력!$AE$2="추경",VLOOKUP($A7,#REF!,11,FALSE),""),"")</f>
        <v/>
      </c>
      <c r="AJ7" s="184" t="str">
        <f>IFERROR(IF(데이터입력!$AE$2="추경",VLOOKUP($A7,#REF!,12,FALSE),""),"")</f>
        <v/>
      </c>
      <c r="AK7" s="184" t="str">
        <f>IFERROR(IF(데이터입력!$AE$2="추경",VLOOKUP($A7,#REF!,13,FALSE),""),"")</f>
        <v/>
      </c>
    </row>
    <row r="8" spans="1:37">
      <c r="A8" s="180">
        <v>6</v>
      </c>
      <c r="B8" s="608" t="str">
        <f>IFERROR(IF(F8="06",데이터입력!$AB$8,IF(F8="07",데이터입력!$AD$8,IF(F8="05",데이터입력!$AF$8,데이터입력!$AB$8))),데이터입력!$AB$8)</f>
        <v>00</v>
      </c>
      <c r="C8" s="609" t="str">
        <f>데이터입력!$AC$9</f>
        <v>일반사업[일반]</v>
      </c>
      <c r="D8" s="610" t="str">
        <f>IFERROR(IF(AND(데이터입력!$AE$2="추경",데이터입력!$AM$2=TRUE),VLOOKUP($A8,데이터입력!$A:$H,4,FALSE),""),"")</f>
        <v/>
      </c>
      <c r="E8" s="610" t="str">
        <f>IFERROR(IF(AND(데이터입력!$AE$2="추경",데이터입력!$AM$2=TRUE),VLOOKUP($A8,데이터입력!$A:$H,2,FALSE),""),"")</f>
        <v/>
      </c>
      <c r="F8" s="610" t="str">
        <f>IFERROR(IF(AND(데이터입력!$AE$2="추경",데이터입력!$AM$2=TRUE),VLOOKUP($A8,데이터입력!$A:$H,5,FALSE),""),"")</f>
        <v/>
      </c>
      <c r="G8" s="610" t="str">
        <f>IFERROR(IF(AND(데이터입력!$AE$2="추경",데이터입력!$AM$2=TRUE),VLOOKUP($A8,데이터입력!$A:$H,6,FALSE),""),"")</f>
        <v/>
      </c>
      <c r="H8" s="611" t="str">
        <f>IFERROR(IF(AND(데이터입력!$AE$2="추경",데이터입력!$AM$2=TRUE),VLOOKUP($A8,데이터입력!$A:$L,7,FALSE),""),"")</f>
        <v/>
      </c>
      <c r="I8" s="611" t="str">
        <f>IFERROR(IF(AND(데이터입력!$AE$2="추경",데이터입력!$AM$2=TRUE),VLOOKUP($A8,데이터입력!$A:$L,8,FALSE)+VLOOKUP($A8,데이터입력!$A:$L,9,FALSE)+VLOOKUP($A8,데이터입력!$A:$L,10,FALSE),""),"")</f>
        <v/>
      </c>
      <c r="J8" s="612" t="s">
        <v>135</v>
      </c>
      <c r="K8" s="612" t="s">
        <v>135</v>
      </c>
      <c r="L8" s="612" t="s">
        <v>135</v>
      </c>
      <c r="M8" s="604"/>
      <c r="N8" s="180">
        <v>206</v>
      </c>
      <c r="O8" s="616" t="str">
        <f>IFERROR(IF(S8="06",데이터입력!$AB$8,IF(S8="07",데이터입력!$AD$8,IF(S8="05",데이터입력!$AF$8,데이터입력!$AB$8))),데이터입력!$AB$8)</f>
        <v>00</v>
      </c>
      <c r="P8" s="617" t="str">
        <f>데이터입력!$AC$9</f>
        <v>일반사업[일반]</v>
      </c>
      <c r="Q8" s="618" t="str">
        <f>IFERROR(IF(데이터입력!$AE$2="추경",VLOOKUP($N8,데이터입력!$A:$H,4,FALSE),""),"")</f>
        <v/>
      </c>
      <c r="R8" s="618" t="str">
        <f>IFERROR(IF(데이터입력!$AE$2="추경",VLOOKUP($N8,데이터입력!$A:$H,2,FALSE),""),"")</f>
        <v/>
      </c>
      <c r="S8" s="618" t="str">
        <f>IFERROR(IF(데이터입력!$AE$2="추경",VLOOKUP($N8,데이터입력!$A:$H,5,FALSE),""),"")</f>
        <v/>
      </c>
      <c r="T8" s="618" t="str">
        <f>IFERROR(IF(데이터입력!$AE$2="추경",VLOOKUP($N8,데이터입력!$A:$H,6,FALSE),""),"")</f>
        <v/>
      </c>
      <c r="U8" s="619" t="str">
        <f>IFERROR(IF(데이터입력!$AE$2="추경",VLOOKUP($N8,데이터입력!$A:$L,8,FALSE)+VLOOKUP($N8,데이터입력!$A:$L,9,FALSE)+VLOOKUP($N8,데이터입력!$A:$L,10,FALSE),""),"")</f>
        <v/>
      </c>
      <c r="V8" s="620" t="s">
        <v>135</v>
      </c>
      <c r="W8" s="620" t="s">
        <v>135</v>
      </c>
      <c r="X8" s="620" t="s">
        <v>135</v>
      </c>
      <c r="Y8" s="600"/>
      <c r="Z8" s="182" t="str">
        <f>데이터입력!$AB$8</f>
        <v>00</v>
      </c>
      <c r="AA8" s="185" t="str">
        <f>데이터입력!$AC$9</f>
        <v>일반사업[일반]</v>
      </c>
      <c r="AB8" s="183" t="str">
        <f>IFERROR(IF(데이터입력!$AE$2="추경",VLOOKUP($A8,#REF!,4,FALSE),""),"")</f>
        <v/>
      </c>
      <c r="AC8" s="183" t="str">
        <f>IFERROR(IF(데이터입력!$AE$2="추경",VLOOKUP($A8,#REF!,5,FALSE),""),"")</f>
        <v/>
      </c>
      <c r="AD8" s="183" t="str">
        <f>IFERROR(IF(데이터입력!$AE$2="추경",VLOOKUP($A8,#REF!,6,FALSE),""),"")</f>
        <v/>
      </c>
      <c r="AE8" s="183" t="str">
        <f>IFERROR(IF(데이터입력!$AE$2="추경",VLOOKUP($A8,#REF!,7,FALSE),""),"")</f>
        <v/>
      </c>
      <c r="AF8" s="183"/>
      <c r="AG8" s="184" t="str">
        <f>IFERROR(IF(데이터입력!$AE$2="추경",VLOOKUP($A8,#REF!,9,FALSE),""),"")</f>
        <v/>
      </c>
      <c r="AH8" s="184" t="str">
        <f>IFERROR(IF(데이터입력!$AE$2="추경",VLOOKUP($A8,#REF!,10,FALSE),""),"")</f>
        <v/>
      </c>
      <c r="AI8" s="184" t="str">
        <f>IFERROR(IF(데이터입력!$AE$2="추경",VLOOKUP($A8,#REF!,11,FALSE),""),"")</f>
        <v/>
      </c>
      <c r="AJ8" s="184" t="str">
        <f>IFERROR(IF(데이터입력!$AE$2="추경",VLOOKUP($A8,#REF!,12,FALSE),""),"")</f>
        <v/>
      </c>
      <c r="AK8" s="184" t="str">
        <f>IFERROR(IF(데이터입력!$AE$2="추경",VLOOKUP($A8,#REF!,13,FALSE),""),"")</f>
        <v/>
      </c>
    </row>
    <row r="9" spans="1:37">
      <c r="A9" s="180">
        <v>7</v>
      </c>
      <c r="B9" s="608" t="str">
        <f>IFERROR(IF(F9="06",데이터입력!$AB$8,IF(F9="07",데이터입력!$AD$8,IF(F9="05",데이터입력!$AF$8,데이터입력!$AB$8))),데이터입력!$AB$8)</f>
        <v>00</v>
      </c>
      <c r="C9" s="609" t="str">
        <f>데이터입력!$AC$9</f>
        <v>일반사업[일반]</v>
      </c>
      <c r="D9" s="610" t="str">
        <f>IFERROR(IF(AND(데이터입력!$AE$2="추경",데이터입력!$AM$2=TRUE),VLOOKUP($A9,데이터입력!$A:$H,4,FALSE),""),"")</f>
        <v/>
      </c>
      <c r="E9" s="610" t="str">
        <f>IFERROR(IF(AND(데이터입력!$AE$2="추경",데이터입력!$AM$2=TRUE),VLOOKUP($A9,데이터입력!$A:$H,2,FALSE),""),"")</f>
        <v/>
      </c>
      <c r="F9" s="610" t="str">
        <f>IFERROR(IF(AND(데이터입력!$AE$2="추경",데이터입력!$AM$2=TRUE),VLOOKUP($A9,데이터입력!$A:$H,5,FALSE),""),"")</f>
        <v/>
      </c>
      <c r="G9" s="610" t="str">
        <f>IFERROR(IF(AND(데이터입력!$AE$2="추경",데이터입력!$AM$2=TRUE),VLOOKUP($A9,데이터입력!$A:$H,6,FALSE),""),"")</f>
        <v/>
      </c>
      <c r="H9" s="611" t="str">
        <f>IFERROR(IF(AND(데이터입력!$AE$2="추경",데이터입력!$AM$2=TRUE),VLOOKUP($A9,데이터입력!$A:$L,7,FALSE),""),"")</f>
        <v/>
      </c>
      <c r="I9" s="611" t="str">
        <f>IFERROR(IF(AND(데이터입력!$AE$2="추경",데이터입력!$AM$2=TRUE),VLOOKUP($A9,데이터입력!$A:$L,8,FALSE)+VLOOKUP($A9,데이터입력!$A:$L,9,FALSE)+VLOOKUP($A9,데이터입력!$A:$L,10,FALSE),""),"")</f>
        <v/>
      </c>
      <c r="J9" s="612" t="s">
        <v>135</v>
      </c>
      <c r="K9" s="612" t="s">
        <v>135</v>
      </c>
      <c r="L9" s="612" t="s">
        <v>135</v>
      </c>
      <c r="M9" s="604"/>
      <c r="N9" s="180">
        <v>207</v>
      </c>
      <c r="O9" s="616" t="str">
        <f>IFERROR(IF(S9="06",데이터입력!$AB$8,IF(S9="07",데이터입력!$AD$8,IF(S9="05",데이터입력!$AF$8,데이터입력!$AB$8))),데이터입력!$AB$8)</f>
        <v>00</v>
      </c>
      <c r="P9" s="617" t="str">
        <f>데이터입력!$AC$9</f>
        <v>일반사업[일반]</v>
      </c>
      <c r="Q9" s="618" t="str">
        <f>IFERROR(IF(데이터입력!$AE$2="추경",VLOOKUP($N9,데이터입력!$A:$H,4,FALSE),""),"")</f>
        <v/>
      </c>
      <c r="R9" s="618" t="str">
        <f>IFERROR(IF(데이터입력!$AE$2="추경",VLOOKUP($N9,데이터입력!$A:$H,2,FALSE),""),"")</f>
        <v/>
      </c>
      <c r="S9" s="618" t="str">
        <f>IFERROR(IF(데이터입력!$AE$2="추경",VLOOKUP($N9,데이터입력!$A:$H,5,FALSE),""),"")</f>
        <v/>
      </c>
      <c r="T9" s="618" t="str">
        <f>IFERROR(IF(데이터입력!$AE$2="추경",VLOOKUP($N9,데이터입력!$A:$H,6,FALSE),""),"")</f>
        <v/>
      </c>
      <c r="U9" s="619" t="str">
        <f>IFERROR(IF(데이터입력!$AE$2="추경",VLOOKUP($N9,데이터입력!$A:$L,8,FALSE)+VLOOKUP($N9,데이터입력!$A:$L,9,FALSE)+VLOOKUP($N9,데이터입력!$A:$L,10,FALSE),""),"")</f>
        <v/>
      </c>
      <c r="V9" s="620" t="s">
        <v>135</v>
      </c>
      <c r="W9" s="620" t="s">
        <v>135</v>
      </c>
      <c r="X9" s="620" t="s">
        <v>135</v>
      </c>
      <c r="Y9" s="601"/>
      <c r="Z9" s="182" t="str">
        <f>데이터입력!$AB$8</f>
        <v>00</v>
      </c>
      <c r="AA9" s="185" t="str">
        <f>데이터입력!$AC$9</f>
        <v>일반사업[일반]</v>
      </c>
      <c r="AB9" s="183" t="str">
        <f>IFERROR(IF(데이터입력!$AE$2="추경",VLOOKUP($A9,#REF!,4,FALSE),""),"")</f>
        <v/>
      </c>
      <c r="AC9" s="183" t="str">
        <f>IFERROR(IF(데이터입력!$AE$2="추경",VLOOKUP($A9,#REF!,5,FALSE),""),"")</f>
        <v/>
      </c>
      <c r="AD9" s="183" t="str">
        <f>IFERROR(IF(데이터입력!$AE$2="추경",VLOOKUP($A9,#REF!,6,FALSE),""),"")</f>
        <v/>
      </c>
      <c r="AE9" s="183" t="str">
        <f>IFERROR(IF(데이터입력!$AE$2="추경",VLOOKUP($A9,#REF!,7,FALSE),""),"")</f>
        <v/>
      </c>
      <c r="AF9" s="183"/>
      <c r="AG9" s="184" t="str">
        <f>IFERROR(IF(데이터입력!$AE$2="추경",VLOOKUP($A9,#REF!,9,FALSE),""),"")</f>
        <v/>
      </c>
      <c r="AH9" s="184" t="str">
        <f>IFERROR(IF(데이터입력!$AE$2="추경",VLOOKUP($A9,#REF!,10,FALSE),""),"")</f>
        <v/>
      </c>
      <c r="AI9" s="184" t="str">
        <f>IFERROR(IF(데이터입력!$AE$2="추경",VLOOKUP($A9,#REF!,11,FALSE),""),"")</f>
        <v/>
      </c>
      <c r="AJ9" s="184" t="str">
        <f>IFERROR(IF(데이터입력!$AE$2="추경",VLOOKUP($A9,#REF!,12,FALSE),""),"")</f>
        <v/>
      </c>
      <c r="AK9" s="184" t="str">
        <f>IFERROR(IF(데이터입력!$AE$2="추경",VLOOKUP($A9,#REF!,13,FALSE),""),"")</f>
        <v/>
      </c>
    </row>
    <row r="10" spans="1:37">
      <c r="A10" s="180">
        <v>8</v>
      </c>
      <c r="B10" s="608" t="str">
        <f>IFERROR(IF(F10="06",데이터입력!$AB$8,IF(F10="07",데이터입력!$AD$8,IF(F10="05",데이터입력!$AF$8,데이터입력!$AB$8))),데이터입력!$AB$8)</f>
        <v>00</v>
      </c>
      <c r="C10" s="609" t="str">
        <f>데이터입력!$AC$9</f>
        <v>일반사업[일반]</v>
      </c>
      <c r="D10" s="610" t="str">
        <f>IFERROR(IF(AND(데이터입력!$AE$2="추경",데이터입력!$AM$2=TRUE),VLOOKUP($A10,데이터입력!$A:$H,4,FALSE),""),"")</f>
        <v/>
      </c>
      <c r="E10" s="610" t="str">
        <f>IFERROR(IF(AND(데이터입력!$AE$2="추경",데이터입력!$AM$2=TRUE),VLOOKUP($A10,데이터입력!$A:$H,2,FALSE),""),"")</f>
        <v/>
      </c>
      <c r="F10" s="610" t="str">
        <f>IFERROR(IF(AND(데이터입력!$AE$2="추경",데이터입력!$AM$2=TRUE),VLOOKUP($A10,데이터입력!$A:$H,5,FALSE),""),"")</f>
        <v/>
      </c>
      <c r="G10" s="610" t="str">
        <f>IFERROR(IF(AND(데이터입력!$AE$2="추경",데이터입력!$AM$2=TRUE),VLOOKUP($A10,데이터입력!$A:$H,6,FALSE),""),"")</f>
        <v/>
      </c>
      <c r="H10" s="611" t="str">
        <f>IFERROR(IF(AND(데이터입력!$AE$2="추경",데이터입력!$AM$2=TRUE),VLOOKUP($A10,데이터입력!$A:$L,7,FALSE),""),"")</f>
        <v/>
      </c>
      <c r="I10" s="611" t="str">
        <f>IFERROR(IF(AND(데이터입력!$AE$2="추경",데이터입력!$AM$2=TRUE),VLOOKUP($A10,데이터입력!$A:$L,8,FALSE)+VLOOKUP($A10,데이터입력!$A:$L,9,FALSE)+VLOOKUP($A10,데이터입력!$A:$L,10,FALSE),""),"")</f>
        <v/>
      </c>
      <c r="J10" s="612" t="s">
        <v>135</v>
      </c>
      <c r="K10" s="612" t="s">
        <v>135</v>
      </c>
      <c r="L10" s="612" t="s">
        <v>135</v>
      </c>
      <c r="M10" s="604"/>
      <c r="N10" s="180">
        <v>208</v>
      </c>
      <c r="O10" s="616" t="str">
        <f>IFERROR(IF(S10="06",데이터입력!$AB$8,IF(S10="07",데이터입력!$AD$8,IF(S10="05",데이터입력!$AF$8,데이터입력!$AB$8))),데이터입력!$AB$8)</f>
        <v>00</v>
      </c>
      <c r="P10" s="617" t="str">
        <f>데이터입력!$AC$9</f>
        <v>일반사업[일반]</v>
      </c>
      <c r="Q10" s="618" t="str">
        <f>IFERROR(IF(데이터입력!$AE$2="추경",VLOOKUP($N10,데이터입력!$A:$H,4,FALSE),""),"")</f>
        <v/>
      </c>
      <c r="R10" s="618" t="str">
        <f>IFERROR(IF(데이터입력!$AE$2="추경",VLOOKUP($N10,데이터입력!$A:$H,2,FALSE),""),"")</f>
        <v/>
      </c>
      <c r="S10" s="618" t="str">
        <f>IFERROR(IF(데이터입력!$AE$2="추경",VLOOKUP($N10,데이터입력!$A:$H,5,FALSE),""),"")</f>
        <v/>
      </c>
      <c r="T10" s="618" t="str">
        <f>IFERROR(IF(데이터입력!$AE$2="추경",VLOOKUP($N10,데이터입력!$A:$H,6,FALSE),""),"")</f>
        <v/>
      </c>
      <c r="U10" s="619" t="str">
        <f>IFERROR(IF(데이터입력!$AE$2="추경",VLOOKUP($N10,데이터입력!$A:$L,8,FALSE)+VLOOKUP($N10,데이터입력!$A:$L,9,FALSE)+VLOOKUP($N10,데이터입력!$A:$L,10,FALSE),""),"")</f>
        <v/>
      </c>
      <c r="V10" s="620" t="s">
        <v>135</v>
      </c>
      <c r="W10" s="620" t="s">
        <v>135</v>
      </c>
      <c r="X10" s="620" t="s">
        <v>135</v>
      </c>
      <c r="Y10" s="600"/>
      <c r="Z10" s="182" t="str">
        <f>데이터입력!$AB$8</f>
        <v>00</v>
      </c>
      <c r="AA10" s="185" t="str">
        <f>데이터입력!$AC$9</f>
        <v>일반사업[일반]</v>
      </c>
      <c r="AB10" s="183" t="str">
        <f>IFERROR(IF(데이터입력!$AE$2="추경",VLOOKUP($A10,#REF!,4,FALSE),""),"")</f>
        <v/>
      </c>
      <c r="AC10" s="183" t="str">
        <f>IFERROR(IF(데이터입력!$AE$2="추경",VLOOKUP($A10,#REF!,5,FALSE),""),"")</f>
        <v/>
      </c>
      <c r="AD10" s="183" t="str">
        <f>IFERROR(IF(데이터입력!$AE$2="추경",VLOOKUP($A10,#REF!,6,FALSE),""),"")</f>
        <v/>
      </c>
      <c r="AE10" s="183" t="str">
        <f>IFERROR(IF(데이터입력!$AE$2="추경",VLOOKUP($A10,#REF!,7,FALSE),""),"")</f>
        <v/>
      </c>
      <c r="AF10" s="183"/>
      <c r="AG10" s="184" t="str">
        <f>IFERROR(IF(데이터입력!$AE$2="추경",VLOOKUP($A10,#REF!,9,FALSE),""),"")</f>
        <v/>
      </c>
      <c r="AH10" s="184" t="str">
        <f>IFERROR(IF(데이터입력!$AE$2="추경",VLOOKUP($A10,#REF!,10,FALSE),""),"")</f>
        <v/>
      </c>
      <c r="AI10" s="184" t="str">
        <f>IFERROR(IF(데이터입력!$AE$2="추경",VLOOKUP($A10,#REF!,11,FALSE),""),"")</f>
        <v/>
      </c>
      <c r="AJ10" s="184" t="str">
        <f>IFERROR(IF(데이터입력!$AE$2="추경",VLOOKUP($A10,#REF!,12,FALSE),""),"")</f>
        <v/>
      </c>
      <c r="AK10" s="184" t="str">
        <f>IFERROR(IF(데이터입력!$AE$2="추경",VLOOKUP($A10,#REF!,13,FALSE),""),"")</f>
        <v/>
      </c>
    </row>
    <row r="11" spans="1:37">
      <c r="A11" s="180">
        <v>9</v>
      </c>
      <c r="B11" s="608" t="str">
        <f>IFERROR(IF(F11="06",데이터입력!$AB$8,IF(F11="07",데이터입력!$AD$8,IF(F11="05",데이터입력!$AF$8,데이터입력!$AB$8))),데이터입력!$AB$8)</f>
        <v>00</v>
      </c>
      <c r="C11" s="609" t="str">
        <f>데이터입력!$AC$9</f>
        <v>일반사업[일반]</v>
      </c>
      <c r="D11" s="610" t="str">
        <f>IFERROR(IF(AND(데이터입력!$AE$2="추경",데이터입력!$AM$2=TRUE),VLOOKUP($A11,데이터입력!$A:$H,4,FALSE),""),"")</f>
        <v/>
      </c>
      <c r="E11" s="610" t="str">
        <f>IFERROR(IF(AND(데이터입력!$AE$2="추경",데이터입력!$AM$2=TRUE),VLOOKUP($A11,데이터입력!$A:$H,2,FALSE),""),"")</f>
        <v/>
      </c>
      <c r="F11" s="610" t="str">
        <f>IFERROR(IF(AND(데이터입력!$AE$2="추경",데이터입력!$AM$2=TRUE),VLOOKUP($A11,데이터입력!$A:$H,5,FALSE),""),"")</f>
        <v/>
      </c>
      <c r="G11" s="610" t="str">
        <f>IFERROR(IF(AND(데이터입력!$AE$2="추경",데이터입력!$AM$2=TRUE),VLOOKUP($A11,데이터입력!$A:$H,6,FALSE),""),"")</f>
        <v/>
      </c>
      <c r="H11" s="611" t="str">
        <f>IFERROR(IF(AND(데이터입력!$AE$2="추경",데이터입력!$AM$2=TRUE),VLOOKUP($A11,데이터입력!$A:$L,7,FALSE),""),"")</f>
        <v/>
      </c>
      <c r="I11" s="611" t="str">
        <f>IFERROR(IF(AND(데이터입력!$AE$2="추경",데이터입력!$AM$2=TRUE),VLOOKUP($A11,데이터입력!$A:$L,8,FALSE)+VLOOKUP($A11,데이터입력!$A:$L,9,FALSE)+VLOOKUP($A11,데이터입력!$A:$L,10,FALSE),""),"")</f>
        <v/>
      </c>
      <c r="J11" s="612" t="s">
        <v>135</v>
      </c>
      <c r="K11" s="612" t="s">
        <v>135</v>
      </c>
      <c r="L11" s="612" t="s">
        <v>135</v>
      </c>
      <c r="M11" s="604"/>
      <c r="N11" s="180">
        <v>209</v>
      </c>
      <c r="O11" s="616" t="str">
        <f>IFERROR(IF(S11="06",데이터입력!$AB$8,IF(S11="07",데이터입력!$AD$8,IF(S11="05",데이터입력!$AF$8,데이터입력!$AB$8))),데이터입력!$AB$8)</f>
        <v>00</v>
      </c>
      <c r="P11" s="617" t="str">
        <f>데이터입력!$AC$9</f>
        <v>일반사업[일반]</v>
      </c>
      <c r="Q11" s="618" t="str">
        <f>IFERROR(IF(데이터입력!$AE$2="추경",VLOOKUP($N11,데이터입력!$A:$H,4,FALSE),""),"")</f>
        <v/>
      </c>
      <c r="R11" s="618" t="str">
        <f>IFERROR(IF(데이터입력!$AE$2="추경",VLOOKUP($N11,데이터입력!$A:$H,2,FALSE),""),"")</f>
        <v/>
      </c>
      <c r="S11" s="618" t="str">
        <f>IFERROR(IF(데이터입력!$AE$2="추경",VLOOKUP($N11,데이터입력!$A:$H,5,FALSE),""),"")</f>
        <v/>
      </c>
      <c r="T11" s="618" t="str">
        <f>IFERROR(IF(데이터입력!$AE$2="추경",VLOOKUP($N11,데이터입력!$A:$H,6,FALSE),""),"")</f>
        <v/>
      </c>
      <c r="U11" s="619" t="str">
        <f>IFERROR(IF(데이터입력!$AE$2="추경",VLOOKUP($N11,데이터입력!$A:$L,8,FALSE)+VLOOKUP($N11,데이터입력!$A:$L,9,FALSE)+VLOOKUP($N11,데이터입력!$A:$L,10,FALSE),""),"")</f>
        <v/>
      </c>
      <c r="V11" s="620" t="s">
        <v>135</v>
      </c>
      <c r="W11" s="620" t="s">
        <v>135</v>
      </c>
      <c r="X11" s="620" t="s">
        <v>135</v>
      </c>
      <c r="Y11" s="601"/>
      <c r="Z11" s="182" t="str">
        <f>데이터입력!$AB$8</f>
        <v>00</v>
      </c>
      <c r="AA11" s="185" t="str">
        <f>데이터입력!$AC$9</f>
        <v>일반사업[일반]</v>
      </c>
      <c r="AB11" s="183" t="str">
        <f>IFERROR(IF(데이터입력!$AE$2="추경",VLOOKUP($A11,#REF!,4,FALSE),""),"")</f>
        <v/>
      </c>
      <c r="AC11" s="183" t="str">
        <f>IFERROR(IF(데이터입력!$AE$2="추경",VLOOKUP($A11,#REF!,5,FALSE),""),"")</f>
        <v/>
      </c>
      <c r="AD11" s="183" t="str">
        <f>IFERROR(IF(데이터입력!$AE$2="추경",VLOOKUP($A11,#REF!,6,FALSE),""),"")</f>
        <v/>
      </c>
      <c r="AE11" s="183" t="str">
        <f>IFERROR(IF(데이터입력!$AE$2="추경",VLOOKUP($A11,#REF!,7,FALSE),""),"")</f>
        <v/>
      </c>
      <c r="AF11" s="183"/>
      <c r="AG11" s="184" t="str">
        <f>IFERROR(IF(데이터입력!$AE$2="추경",VLOOKUP($A11,#REF!,9,FALSE),""),"")</f>
        <v/>
      </c>
      <c r="AH11" s="184" t="str">
        <f>IFERROR(IF(데이터입력!$AE$2="추경",VLOOKUP($A11,#REF!,10,FALSE),""),"")</f>
        <v/>
      </c>
      <c r="AI11" s="184" t="str">
        <f>IFERROR(IF(데이터입력!$AE$2="추경",VLOOKUP($A11,#REF!,11,FALSE),""),"")</f>
        <v/>
      </c>
      <c r="AJ11" s="184" t="str">
        <f>IFERROR(IF(데이터입력!$AE$2="추경",VLOOKUP($A11,#REF!,12,FALSE),""),"")</f>
        <v/>
      </c>
      <c r="AK11" s="184" t="str">
        <f>IFERROR(IF(데이터입력!$AE$2="추경",VLOOKUP($A11,#REF!,13,FALSE),""),"")</f>
        <v/>
      </c>
    </row>
    <row r="12" spans="1:37">
      <c r="A12" s="180">
        <v>10</v>
      </c>
      <c r="B12" s="608" t="str">
        <f>IFERROR(IF(F12="06",데이터입력!$AB$8,IF(F12="07",데이터입력!$AD$8,IF(F12="05",데이터입력!$AF$8,데이터입력!$AB$8))),데이터입력!$AB$8)</f>
        <v>00</v>
      </c>
      <c r="C12" s="609" t="str">
        <f>데이터입력!$AC$9</f>
        <v>일반사업[일반]</v>
      </c>
      <c r="D12" s="610" t="str">
        <f>IFERROR(IF(AND(데이터입력!$AE$2="추경",데이터입력!$AM$2=TRUE),VLOOKUP($A12,데이터입력!$A:$H,4,FALSE),""),"")</f>
        <v/>
      </c>
      <c r="E12" s="610" t="str">
        <f>IFERROR(IF(AND(데이터입력!$AE$2="추경",데이터입력!$AM$2=TRUE),VLOOKUP($A12,데이터입력!$A:$H,2,FALSE),""),"")</f>
        <v/>
      </c>
      <c r="F12" s="610" t="str">
        <f>IFERROR(IF(AND(데이터입력!$AE$2="추경",데이터입력!$AM$2=TRUE),VLOOKUP($A12,데이터입력!$A:$H,5,FALSE),""),"")</f>
        <v/>
      </c>
      <c r="G12" s="610" t="str">
        <f>IFERROR(IF(AND(데이터입력!$AE$2="추경",데이터입력!$AM$2=TRUE),VLOOKUP($A12,데이터입력!$A:$H,6,FALSE),""),"")</f>
        <v/>
      </c>
      <c r="H12" s="611" t="str">
        <f>IFERROR(IF(AND(데이터입력!$AE$2="추경",데이터입력!$AM$2=TRUE),VLOOKUP($A12,데이터입력!$A:$L,7,FALSE),""),"")</f>
        <v/>
      </c>
      <c r="I12" s="611" t="str">
        <f>IFERROR(IF(AND(데이터입력!$AE$2="추경",데이터입력!$AM$2=TRUE),VLOOKUP($A12,데이터입력!$A:$L,8,FALSE)+VLOOKUP($A12,데이터입력!$A:$L,9,FALSE)+VLOOKUP($A12,데이터입력!$A:$L,10,FALSE),""),"")</f>
        <v/>
      </c>
      <c r="J12" s="612" t="s">
        <v>135</v>
      </c>
      <c r="K12" s="612" t="s">
        <v>135</v>
      </c>
      <c r="L12" s="612" t="s">
        <v>135</v>
      </c>
      <c r="M12" s="604"/>
      <c r="N12" s="180">
        <v>210</v>
      </c>
      <c r="O12" s="616" t="str">
        <f>IFERROR(IF(S12="06",데이터입력!$AB$8,IF(S12="07",데이터입력!$AD$8,IF(S12="05",데이터입력!$AF$8,데이터입력!$AB$8))),데이터입력!$AB$8)</f>
        <v>00</v>
      </c>
      <c r="P12" s="617" t="str">
        <f>데이터입력!$AC$9</f>
        <v>일반사업[일반]</v>
      </c>
      <c r="Q12" s="618" t="str">
        <f>IFERROR(IF(데이터입력!$AE$2="추경",VLOOKUP($N12,데이터입력!$A:$H,4,FALSE),""),"")</f>
        <v/>
      </c>
      <c r="R12" s="618" t="str">
        <f>IFERROR(IF(데이터입력!$AE$2="추경",VLOOKUP($N12,데이터입력!$A:$H,2,FALSE),""),"")</f>
        <v/>
      </c>
      <c r="S12" s="618" t="str">
        <f>IFERROR(IF(데이터입력!$AE$2="추경",VLOOKUP($N12,데이터입력!$A:$H,5,FALSE),""),"")</f>
        <v/>
      </c>
      <c r="T12" s="618" t="str">
        <f>IFERROR(IF(데이터입력!$AE$2="추경",VLOOKUP($N12,데이터입력!$A:$H,6,FALSE),""),"")</f>
        <v/>
      </c>
      <c r="U12" s="619" t="str">
        <f>IFERROR(IF(데이터입력!$AE$2="추경",VLOOKUP($N12,데이터입력!$A:$L,8,FALSE)+VLOOKUP($N12,데이터입력!$A:$L,9,FALSE)+VLOOKUP($N12,데이터입력!$A:$L,10,FALSE),""),"")</f>
        <v/>
      </c>
      <c r="V12" s="620" t="s">
        <v>135</v>
      </c>
      <c r="W12" s="620" t="s">
        <v>135</v>
      </c>
      <c r="X12" s="620" t="s">
        <v>135</v>
      </c>
      <c r="Y12" s="600"/>
      <c r="Z12" s="182" t="str">
        <f>데이터입력!$AB$8</f>
        <v>00</v>
      </c>
      <c r="AA12" s="185" t="str">
        <f>데이터입력!$AC$9</f>
        <v>일반사업[일반]</v>
      </c>
      <c r="AB12" s="183" t="str">
        <f>IFERROR(IF(데이터입력!$AE$2="추경",VLOOKUP($A12,#REF!,4,FALSE),""),"")</f>
        <v/>
      </c>
      <c r="AC12" s="183" t="str">
        <f>IFERROR(IF(데이터입력!$AE$2="추경",VLOOKUP($A12,#REF!,5,FALSE),""),"")</f>
        <v/>
      </c>
      <c r="AD12" s="183" t="str">
        <f>IFERROR(IF(데이터입력!$AE$2="추경",VLOOKUP($A12,#REF!,6,FALSE),""),"")</f>
        <v/>
      </c>
      <c r="AE12" s="183" t="str">
        <f>IFERROR(IF(데이터입력!$AE$2="추경",VLOOKUP($A12,#REF!,7,FALSE),""),"")</f>
        <v/>
      </c>
      <c r="AF12" s="183"/>
      <c r="AG12" s="184" t="str">
        <f>IFERROR(IF(데이터입력!$AE$2="추경",VLOOKUP($A12,#REF!,9,FALSE),""),"")</f>
        <v/>
      </c>
      <c r="AH12" s="184" t="str">
        <f>IFERROR(IF(데이터입력!$AE$2="추경",VLOOKUP($A12,#REF!,10,FALSE),""),"")</f>
        <v/>
      </c>
      <c r="AI12" s="184" t="str">
        <f>IFERROR(IF(데이터입력!$AE$2="추경",VLOOKUP($A12,#REF!,11,FALSE),""),"")</f>
        <v/>
      </c>
      <c r="AJ12" s="184" t="str">
        <f>IFERROR(IF(데이터입력!$AE$2="추경",VLOOKUP($A12,#REF!,12,FALSE),""),"")</f>
        <v/>
      </c>
      <c r="AK12" s="184" t="str">
        <f>IFERROR(IF(데이터입력!$AE$2="추경",VLOOKUP($A12,#REF!,13,FALSE),""),"")</f>
        <v/>
      </c>
    </row>
    <row r="13" spans="1:37">
      <c r="A13" s="180">
        <v>11</v>
      </c>
      <c r="B13" s="608" t="str">
        <f>IFERROR(IF(F13="06",데이터입력!$AB$8,IF(F13="07",데이터입력!$AD$8,IF(F13="05",데이터입력!$AF$8,데이터입력!$AB$8))),데이터입력!$AB$8)</f>
        <v>00</v>
      </c>
      <c r="C13" s="609" t="str">
        <f>데이터입력!$AC$9</f>
        <v>일반사업[일반]</v>
      </c>
      <c r="D13" s="610" t="str">
        <f>IFERROR(IF(AND(데이터입력!$AE$2="추경",데이터입력!$AM$2=TRUE),VLOOKUP($A13,데이터입력!$A:$H,4,FALSE),""),"")</f>
        <v/>
      </c>
      <c r="E13" s="610" t="str">
        <f>IFERROR(IF(AND(데이터입력!$AE$2="추경",데이터입력!$AM$2=TRUE),VLOOKUP($A13,데이터입력!$A:$H,2,FALSE),""),"")</f>
        <v/>
      </c>
      <c r="F13" s="610" t="str">
        <f>IFERROR(IF(AND(데이터입력!$AE$2="추경",데이터입력!$AM$2=TRUE),VLOOKUP($A13,데이터입력!$A:$H,5,FALSE),""),"")</f>
        <v/>
      </c>
      <c r="G13" s="610" t="str">
        <f>IFERROR(IF(AND(데이터입력!$AE$2="추경",데이터입력!$AM$2=TRUE),VLOOKUP($A13,데이터입력!$A:$H,6,FALSE),""),"")</f>
        <v/>
      </c>
      <c r="H13" s="611" t="str">
        <f>IFERROR(IF(AND(데이터입력!$AE$2="추경",데이터입력!$AM$2=TRUE),VLOOKUP($A13,데이터입력!$A:$L,7,FALSE),""),"")</f>
        <v/>
      </c>
      <c r="I13" s="611" t="str">
        <f>IFERROR(IF(AND(데이터입력!$AE$2="추경",데이터입력!$AM$2=TRUE),VLOOKUP($A13,데이터입력!$A:$L,8,FALSE)+VLOOKUP($A13,데이터입력!$A:$L,9,FALSE)+VLOOKUP($A13,데이터입력!$A:$L,10,FALSE),""),"")</f>
        <v/>
      </c>
      <c r="J13" s="612" t="s">
        <v>135</v>
      </c>
      <c r="K13" s="612" t="s">
        <v>135</v>
      </c>
      <c r="L13" s="612" t="s">
        <v>135</v>
      </c>
      <c r="M13" s="604"/>
      <c r="N13" s="180">
        <v>211</v>
      </c>
      <c r="O13" s="616" t="str">
        <f>IFERROR(IF(S13="06",데이터입력!$AB$8,IF(S13="07",데이터입력!$AD$8,IF(S13="05",데이터입력!$AF$8,데이터입력!$AB$8))),데이터입력!$AB$8)</f>
        <v>00</v>
      </c>
      <c r="P13" s="617" t="str">
        <f>데이터입력!$AC$9</f>
        <v>일반사업[일반]</v>
      </c>
      <c r="Q13" s="618" t="str">
        <f>IFERROR(IF(데이터입력!$AE$2="추경",VLOOKUP($N13,데이터입력!$A:$H,4,FALSE),""),"")</f>
        <v/>
      </c>
      <c r="R13" s="618" t="str">
        <f>IFERROR(IF(데이터입력!$AE$2="추경",VLOOKUP($N13,데이터입력!$A:$H,2,FALSE),""),"")</f>
        <v/>
      </c>
      <c r="S13" s="618" t="str">
        <f>IFERROR(IF(데이터입력!$AE$2="추경",VLOOKUP($N13,데이터입력!$A:$H,5,FALSE),""),"")</f>
        <v/>
      </c>
      <c r="T13" s="618" t="str">
        <f>IFERROR(IF(데이터입력!$AE$2="추경",VLOOKUP($N13,데이터입력!$A:$H,6,FALSE),""),"")</f>
        <v/>
      </c>
      <c r="U13" s="619" t="str">
        <f>IFERROR(IF(데이터입력!$AE$2="추경",VLOOKUP($N13,데이터입력!$A:$L,8,FALSE)+VLOOKUP($N13,데이터입력!$A:$L,9,FALSE)+VLOOKUP($N13,데이터입력!$A:$L,10,FALSE),""),"")</f>
        <v/>
      </c>
      <c r="V13" s="620" t="s">
        <v>135</v>
      </c>
      <c r="W13" s="620" t="s">
        <v>135</v>
      </c>
      <c r="X13" s="620" t="s">
        <v>135</v>
      </c>
      <c r="Y13" s="601"/>
      <c r="Z13" s="182" t="str">
        <f>데이터입력!$AB$8</f>
        <v>00</v>
      </c>
      <c r="AA13" s="185" t="str">
        <f>데이터입력!$AC$9</f>
        <v>일반사업[일반]</v>
      </c>
      <c r="AB13" s="183" t="str">
        <f>IFERROR(IF(데이터입력!$AE$2="추경",VLOOKUP($A13,#REF!,4,FALSE),""),"")</f>
        <v/>
      </c>
      <c r="AC13" s="183" t="str">
        <f>IFERROR(IF(데이터입력!$AE$2="추경",VLOOKUP($A13,#REF!,5,FALSE),""),"")</f>
        <v/>
      </c>
      <c r="AD13" s="183" t="str">
        <f>IFERROR(IF(데이터입력!$AE$2="추경",VLOOKUP($A13,#REF!,6,FALSE),""),"")</f>
        <v/>
      </c>
      <c r="AE13" s="183" t="str">
        <f>IFERROR(IF(데이터입력!$AE$2="추경",VLOOKUP($A13,#REF!,7,FALSE),""),"")</f>
        <v/>
      </c>
      <c r="AF13" s="183"/>
      <c r="AG13" s="184" t="str">
        <f>IFERROR(IF(데이터입력!$AE$2="추경",VLOOKUP($A13,#REF!,9,FALSE),""),"")</f>
        <v/>
      </c>
      <c r="AH13" s="184" t="str">
        <f>IFERROR(IF(데이터입력!$AE$2="추경",VLOOKUP($A13,#REF!,10,FALSE),""),"")</f>
        <v/>
      </c>
      <c r="AI13" s="184" t="str">
        <f>IFERROR(IF(데이터입력!$AE$2="추경",VLOOKUP($A13,#REF!,11,FALSE),""),"")</f>
        <v/>
      </c>
      <c r="AJ13" s="184" t="str">
        <f>IFERROR(IF(데이터입력!$AE$2="추경",VLOOKUP($A13,#REF!,12,FALSE),""),"")</f>
        <v/>
      </c>
      <c r="AK13" s="184" t="str">
        <f>IFERROR(IF(데이터입력!$AE$2="추경",VLOOKUP($A13,#REF!,13,FALSE),""),"")</f>
        <v/>
      </c>
    </row>
    <row r="14" spans="1:37">
      <c r="A14" s="180">
        <v>12</v>
      </c>
      <c r="B14" s="608" t="str">
        <f>IFERROR(IF(F14="06",데이터입력!$AB$8,IF(F14="07",데이터입력!$AD$8,IF(F14="05",데이터입력!$AF$8,데이터입력!$AB$8))),데이터입력!$AB$8)</f>
        <v>00</v>
      </c>
      <c r="C14" s="609" t="str">
        <f>데이터입력!$AC$9</f>
        <v>일반사업[일반]</v>
      </c>
      <c r="D14" s="610" t="str">
        <f>IFERROR(IF(AND(데이터입력!$AE$2="추경",데이터입력!$AM$2=TRUE),VLOOKUP($A14,데이터입력!$A:$H,4,FALSE),""),"")</f>
        <v/>
      </c>
      <c r="E14" s="610" t="str">
        <f>IFERROR(IF(AND(데이터입력!$AE$2="추경",데이터입력!$AM$2=TRUE),VLOOKUP($A14,데이터입력!$A:$H,2,FALSE),""),"")</f>
        <v/>
      </c>
      <c r="F14" s="610" t="str">
        <f>IFERROR(IF(AND(데이터입력!$AE$2="추경",데이터입력!$AM$2=TRUE),VLOOKUP($A14,데이터입력!$A:$H,5,FALSE),""),"")</f>
        <v/>
      </c>
      <c r="G14" s="610" t="str">
        <f>IFERROR(IF(AND(데이터입력!$AE$2="추경",데이터입력!$AM$2=TRUE),VLOOKUP($A14,데이터입력!$A:$H,6,FALSE),""),"")</f>
        <v/>
      </c>
      <c r="H14" s="611" t="str">
        <f>IFERROR(IF(AND(데이터입력!$AE$2="추경",데이터입력!$AM$2=TRUE),VLOOKUP($A14,데이터입력!$A:$L,7,FALSE),""),"")</f>
        <v/>
      </c>
      <c r="I14" s="611" t="str">
        <f>IFERROR(IF(AND(데이터입력!$AE$2="추경",데이터입력!$AM$2=TRUE),VLOOKUP($A14,데이터입력!$A:$L,8,FALSE)+VLOOKUP($A14,데이터입력!$A:$L,9,FALSE)+VLOOKUP($A14,데이터입력!$A:$L,10,FALSE),""),"")</f>
        <v/>
      </c>
      <c r="J14" s="612" t="s">
        <v>135</v>
      </c>
      <c r="K14" s="612" t="s">
        <v>135</v>
      </c>
      <c r="L14" s="612" t="s">
        <v>135</v>
      </c>
      <c r="M14" s="604"/>
      <c r="N14" s="180">
        <v>212</v>
      </c>
      <c r="O14" s="616" t="str">
        <f>IFERROR(IF(S14="06",데이터입력!$AB$8,IF(S14="07",데이터입력!$AD$8,IF(S14="05",데이터입력!$AF$8,데이터입력!$AB$8))),데이터입력!$AB$8)</f>
        <v>00</v>
      </c>
      <c r="P14" s="617" t="str">
        <f>데이터입력!$AC$9</f>
        <v>일반사업[일반]</v>
      </c>
      <c r="Q14" s="618" t="str">
        <f>IFERROR(IF(데이터입력!$AE$2="추경",VLOOKUP($N14,데이터입력!$A:$H,4,FALSE),""),"")</f>
        <v/>
      </c>
      <c r="R14" s="618" t="str">
        <f>IFERROR(IF(데이터입력!$AE$2="추경",VLOOKUP($N14,데이터입력!$A:$H,2,FALSE),""),"")</f>
        <v/>
      </c>
      <c r="S14" s="618" t="str">
        <f>IFERROR(IF(데이터입력!$AE$2="추경",VLOOKUP($N14,데이터입력!$A:$H,5,FALSE),""),"")</f>
        <v/>
      </c>
      <c r="T14" s="618" t="str">
        <f>IFERROR(IF(데이터입력!$AE$2="추경",VLOOKUP($N14,데이터입력!$A:$H,6,FALSE),""),"")</f>
        <v/>
      </c>
      <c r="U14" s="619" t="str">
        <f>IFERROR(IF(데이터입력!$AE$2="추경",VLOOKUP($N14,데이터입력!$A:$L,8,FALSE)+VLOOKUP($N14,데이터입력!$A:$L,9,FALSE)+VLOOKUP($N14,데이터입력!$A:$L,10,FALSE),""),"")</f>
        <v/>
      </c>
      <c r="V14" s="620" t="s">
        <v>135</v>
      </c>
      <c r="W14" s="620" t="s">
        <v>135</v>
      </c>
      <c r="X14" s="620" t="s">
        <v>135</v>
      </c>
      <c r="Y14" s="600"/>
      <c r="Z14" s="182" t="str">
        <f>데이터입력!$AB$8</f>
        <v>00</v>
      </c>
      <c r="AA14" s="185" t="str">
        <f>데이터입력!$AC$9</f>
        <v>일반사업[일반]</v>
      </c>
      <c r="AB14" s="183" t="str">
        <f>IFERROR(IF(데이터입력!$AE$2="추경",VLOOKUP($A14,#REF!,4,FALSE),""),"")</f>
        <v/>
      </c>
      <c r="AC14" s="183" t="str">
        <f>IFERROR(IF(데이터입력!$AE$2="추경",VLOOKUP($A14,#REF!,5,FALSE),""),"")</f>
        <v/>
      </c>
      <c r="AD14" s="183" t="str">
        <f>IFERROR(IF(데이터입력!$AE$2="추경",VLOOKUP($A14,#REF!,6,FALSE),""),"")</f>
        <v/>
      </c>
      <c r="AE14" s="183" t="str">
        <f>IFERROR(IF(데이터입력!$AE$2="추경",VLOOKUP($A14,#REF!,7,FALSE),""),"")</f>
        <v/>
      </c>
      <c r="AF14" s="183"/>
      <c r="AG14" s="184" t="str">
        <f>IFERROR(IF(데이터입력!$AE$2="추경",VLOOKUP($A14,#REF!,9,FALSE),""),"")</f>
        <v/>
      </c>
      <c r="AH14" s="184" t="str">
        <f>IFERROR(IF(데이터입력!$AE$2="추경",VLOOKUP($A14,#REF!,10,FALSE),""),"")</f>
        <v/>
      </c>
      <c r="AI14" s="184" t="str">
        <f>IFERROR(IF(데이터입력!$AE$2="추경",VLOOKUP($A14,#REF!,11,FALSE),""),"")</f>
        <v/>
      </c>
      <c r="AJ14" s="184" t="str">
        <f>IFERROR(IF(데이터입력!$AE$2="추경",VLOOKUP($A14,#REF!,12,FALSE),""),"")</f>
        <v/>
      </c>
      <c r="AK14" s="184" t="str">
        <f>IFERROR(IF(데이터입력!$AE$2="추경",VLOOKUP($A14,#REF!,13,FALSE),""),"")</f>
        <v/>
      </c>
    </row>
    <row r="15" spans="1:37">
      <c r="A15" s="180">
        <v>13</v>
      </c>
      <c r="B15" s="608" t="str">
        <f>IFERROR(IF(F15="06",데이터입력!$AB$8,IF(F15="07",데이터입력!$AD$8,IF(F15="05",데이터입력!$AF$8,데이터입력!$AB$8))),데이터입력!$AB$8)</f>
        <v>00</v>
      </c>
      <c r="C15" s="609" t="str">
        <f>데이터입력!$AC$9</f>
        <v>일반사업[일반]</v>
      </c>
      <c r="D15" s="610" t="str">
        <f>IFERROR(IF(AND(데이터입력!$AE$2="추경",데이터입력!$AM$2=TRUE),VLOOKUP($A15,데이터입력!$A:$H,4,FALSE),""),"")</f>
        <v/>
      </c>
      <c r="E15" s="610" t="str">
        <f>IFERROR(IF(AND(데이터입력!$AE$2="추경",데이터입력!$AM$2=TRUE),VLOOKUP($A15,데이터입력!$A:$H,2,FALSE),""),"")</f>
        <v/>
      </c>
      <c r="F15" s="610" t="str">
        <f>IFERROR(IF(AND(데이터입력!$AE$2="추경",데이터입력!$AM$2=TRUE),VLOOKUP($A15,데이터입력!$A:$H,5,FALSE),""),"")</f>
        <v/>
      </c>
      <c r="G15" s="610" t="str">
        <f>IFERROR(IF(AND(데이터입력!$AE$2="추경",데이터입력!$AM$2=TRUE),VLOOKUP($A15,데이터입력!$A:$H,6,FALSE),""),"")</f>
        <v/>
      </c>
      <c r="H15" s="611" t="str">
        <f>IFERROR(IF(AND(데이터입력!$AE$2="추경",데이터입력!$AM$2=TRUE),VLOOKUP($A15,데이터입력!$A:$L,7,FALSE),""),"")</f>
        <v/>
      </c>
      <c r="I15" s="611" t="str">
        <f>IFERROR(IF(AND(데이터입력!$AE$2="추경",데이터입력!$AM$2=TRUE),VLOOKUP($A15,데이터입력!$A:$L,8,FALSE)+VLOOKUP($A15,데이터입력!$A:$L,9,FALSE)+VLOOKUP($A15,데이터입력!$A:$L,10,FALSE),""),"")</f>
        <v/>
      </c>
      <c r="J15" s="612" t="s">
        <v>135</v>
      </c>
      <c r="K15" s="612" t="s">
        <v>135</v>
      </c>
      <c r="L15" s="612" t="s">
        <v>135</v>
      </c>
      <c r="M15" s="604"/>
      <c r="N15" s="180">
        <v>213</v>
      </c>
      <c r="O15" s="616" t="str">
        <f>IFERROR(IF(S15="06",데이터입력!$AB$8,IF(S15="07",데이터입력!$AD$8,IF(S15="05",데이터입력!$AF$8,데이터입력!$AB$8))),데이터입력!$AB$8)</f>
        <v>00</v>
      </c>
      <c r="P15" s="617" t="str">
        <f>데이터입력!$AC$9</f>
        <v>일반사업[일반]</v>
      </c>
      <c r="Q15" s="618" t="str">
        <f>IFERROR(IF(데이터입력!$AE$2="추경",VLOOKUP($N15,데이터입력!$A:$H,4,FALSE),""),"")</f>
        <v/>
      </c>
      <c r="R15" s="618" t="str">
        <f>IFERROR(IF(데이터입력!$AE$2="추경",VLOOKUP($N15,데이터입력!$A:$H,2,FALSE),""),"")</f>
        <v/>
      </c>
      <c r="S15" s="618" t="str">
        <f>IFERROR(IF(데이터입력!$AE$2="추경",VLOOKUP($N15,데이터입력!$A:$H,5,FALSE),""),"")</f>
        <v/>
      </c>
      <c r="T15" s="618" t="str">
        <f>IFERROR(IF(데이터입력!$AE$2="추경",VLOOKUP($N15,데이터입력!$A:$H,6,FALSE),""),"")</f>
        <v/>
      </c>
      <c r="U15" s="619" t="str">
        <f>IFERROR(IF(데이터입력!$AE$2="추경",VLOOKUP($N15,데이터입력!$A:$L,8,FALSE)+VLOOKUP($N15,데이터입력!$A:$L,9,FALSE)+VLOOKUP($N15,데이터입력!$A:$L,10,FALSE),""),"")</f>
        <v/>
      </c>
      <c r="V15" s="620" t="s">
        <v>135</v>
      </c>
      <c r="W15" s="620" t="s">
        <v>135</v>
      </c>
      <c r="X15" s="620" t="s">
        <v>135</v>
      </c>
      <c r="Y15" s="601"/>
      <c r="Z15" s="182" t="str">
        <f>데이터입력!$AB$8</f>
        <v>00</v>
      </c>
      <c r="AA15" s="185" t="str">
        <f>데이터입력!$AC$9</f>
        <v>일반사업[일반]</v>
      </c>
      <c r="AB15" s="183" t="str">
        <f>IFERROR(IF(데이터입력!$AE$2="추경",VLOOKUP($A15,#REF!,4,FALSE),""),"")</f>
        <v/>
      </c>
      <c r="AC15" s="183" t="str">
        <f>IFERROR(IF(데이터입력!$AE$2="추경",VLOOKUP($A15,#REF!,5,FALSE),""),"")</f>
        <v/>
      </c>
      <c r="AD15" s="183" t="str">
        <f>IFERROR(IF(데이터입력!$AE$2="추경",VLOOKUP($A15,#REF!,6,FALSE),""),"")</f>
        <v/>
      </c>
      <c r="AE15" s="183" t="str">
        <f>IFERROR(IF(데이터입력!$AE$2="추경",VLOOKUP($A15,#REF!,7,FALSE),""),"")</f>
        <v/>
      </c>
      <c r="AF15" s="183"/>
      <c r="AG15" s="184" t="str">
        <f>IFERROR(IF(데이터입력!$AE$2="추경",VLOOKUP($A15,#REF!,9,FALSE),""),"")</f>
        <v/>
      </c>
      <c r="AH15" s="184" t="str">
        <f>IFERROR(IF(데이터입력!$AE$2="추경",VLOOKUP($A15,#REF!,10,FALSE),""),"")</f>
        <v/>
      </c>
      <c r="AI15" s="184" t="str">
        <f>IFERROR(IF(데이터입력!$AE$2="추경",VLOOKUP($A15,#REF!,11,FALSE),""),"")</f>
        <v/>
      </c>
      <c r="AJ15" s="184" t="str">
        <f>IFERROR(IF(데이터입력!$AE$2="추경",VLOOKUP($A15,#REF!,12,FALSE),""),"")</f>
        <v/>
      </c>
      <c r="AK15" s="184" t="str">
        <f>IFERROR(IF(데이터입력!$AE$2="추경",VLOOKUP($A15,#REF!,13,FALSE),""),"")</f>
        <v/>
      </c>
    </row>
    <row r="16" spans="1:37">
      <c r="A16" s="180">
        <v>14</v>
      </c>
      <c r="B16" s="608" t="str">
        <f>IFERROR(IF(F16="06",데이터입력!$AB$8,IF(F16="07",데이터입력!$AD$8,IF(F16="05",데이터입력!$AF$8,데이터입력!$AB$8))),데이터입력!$AB$8)</f>
        <v>00</v>
      </c>
      <c r="C16" s="609" t="str">
        <f>데이터입력!$AC$9</f>
        <v>일반사업[일반]</v>
      </c>
      <c r="D16" s="610" t="str">
        <f>IFERROR(IF(AND(데이터입력!$AE$2="추경",데이터입력!$AM$2=TRUE),VLOOKUP($A16,데이터입력!$A:$H,4,FALSE),""),"")</f>
        <v/>
      </c>
      <c r="E16" s="610" t="str">
        <f>IFERROR(IF(AND(데이터입력!$AE$2="추경",데이터입력!$AM$2=TRUE),VLOOKUP($A16,데이터입력!$A:$H,2,FALSE),""),"")</f>
        <v/>
      </c>
      <c r="F16" s="610" t="str">
        <f>IFERROR(IF(AND(데이터입력!$AE$2="추경",데이터입력!$AM$2=TRUE),VLOOKUP($A16,데이터입력!$A:$H,5,FALSE),""),"")</f>
        <v/>
      </c>
      <c r="G16" s="610" t="str">
        <f>IFERROR(IF(AND(데이터입력!$AE$2="추경",데이터입력!$AM$2=TRUE),VLOOKUP($A16,데이터입력!$A:$H,6,FALSE),""),"")</f>
        <v/>
      </c>
      <c r="H16" s="611" t="str">
        <f>IFERROR(IF(AND(데이터입력!$AE$2="추경",데이터입력!$AM$2=TRUE),VLOOKUP($A16,데이터입력!$A:$L,7,FALSE),""),"")</f>
        <v/>
      </c>
      <c r="I16" s="611" t="str">
        <f>IFERROR(IF(AND(데이터입력!$AE$2="추경",데이터입력!$AM$2=TRUE),VLOOKUP($A16,데이터입력!$A:$L,8,FALSE)+VLOOKUP($A16,데이터입력!$A:$L,9,FALSE)+VLOOKUP($A16,데이터입력!$A:$L,10,FALSE),""),"")</f>
        <v/>
      </c>
      <c r="J16" s="612" t="s">
        <v>135</v>
      </c>
      <c r="K16" s="612" t="s">
        <v>135</v>
      </c>
      <c r="L16" s="612" t="s">
        <v>135</v>
      </c>
      <c r="M16" s="604"/>
      <c r="N16" s="180">
        <v>214</v>
      </c>
      <c r="O16" s="616" t="str">
        <f>IFERROR(IF(S16="06",데이터입력!$AB$8,IF(S16="07",데이터입력!$AD$8,IF(S16="05",데이터입력!$AF$8,데이터입력!$AB$8))),데이터입력!$AB$8)</f>
        <v>00</v>
      </c>
      <c r="P16" s="617" t="str">
        <f>데이터입력!$AC$9</f>
        <v>일반사업[일반]</v>
      </c>
      <c r="Q16" s="618" t="str">
        <f>IFERROR(IF(데이터입력!$AE$2="추경",VLOOKUP($N16,데이터입력!$A:$H,4,FALSE),""),"")</f>
        <v/>
      </c>
      <c r="R16" s="618" t="str">
        <f>IFERROR(IF(데이터입력!$AE$2="추경",VLOOKUP($N16,데이터입력!$A:$H,2,FALSE),""),"")</f>
        <v/>
      </c>
      <c r="S16" s="618" t="str">
        <f>IFERROR(IF(데이터입력!$AE$2="추경",VLOOKUP($N16,데이터입력!$A:$H,5,FALSE),""),"")</f>
        <v/>
      </c>
      <c r="T16" s="618" t="str">
        <f>IFERROR(IF(데이터입력!$AE$2="추경",VLOOKUP($N16,데이터입력!$A:$H,6,FALSE),""),"")</f>
        <v/>
      </c>
      <c r="U16" s="619" t="str">
        <f>IFERROR(IF(데이터입력!$AE$2="추경",VLOOKUP($N16,데이터입력!$A:$L,8,FALSE)+VLOOKUP($N16,데이터입력!$A:$L,9,FALSE)+VLOOKUP($N16,데이터입력!$A:$L,10,FALSE),""),"")</f>
        <v/>
      </c>
      <c r="V16" s="620" t="s">
        <v>135</v>
      </c>
      <c r="W16" s="620" t="s">
        <v>135</v>
      </c>
      <c r="X16" s="620" t="s">
        <v>135</v>
      </c>
      <c r="Y16" s="600"/>
      <c r="Z16" s="182" t="str">
        <f>데이터입력!$AB$8</f>
        <v>00</v>
      </c>
      <c r="AA16" s="185" t="str">
        <f>데이터입력!$AC$9</f>
        <v>일반사업[일반]</v>
      </c>
      <c r="AB16" s="183" t="str">
        <f>IFERROR(IF(데이터입력!$AE$2="추경",VLOOKUP($A16,#REF!,4,FALSE),""),"")</f>
        <v/>
      </c>
      <c r="AC16" s="183" t="str">
        <f>IFERROR(IF(데이터입력!$AE$2="추경",VLOOKUP($A16,#REF!,5,FALSE),""),"")</f>
        <v/>
      </c>
      <c r="AD16" s="183" t="str">
        <f>IFERROR(IF(데이터입력!$AE$2="추경",VLOOKUP($A16,#REF!,6,FALSE),""),"")</f>
        <v/>
      </c>
      <c r="AE16" s="183" t="str">
        <f>IFERROR(IF(데이터입력!$AE$2="추경",VLOOKUP($A16,#REF!,7,FALSE),""),"")</f>
        <v/>
      </c>
      <c r="AF16" s="183"/>
      <c r="AG16" s="184" t="str">
        <f>IFERROR(IF(데이터입력!$AE$2="추경",VLOOKUP($A16,#REF!,9,FALSE),""),"")</f>
        <v/>
      </c>
      <c r="AH16" s="184" t="str">
        <f>IFERROR(IF(데이터입력!$AE$2="추경",VLOOKUP($A16,#REF!,10,FALSE),""),"")</f>
        <v/>
      </c>
      <c r="AI16" s="184" t="str">
        <f>IFERROR(IF(데이터입력!$AE$2="추경",VLOOKUP($A16,#REF!,11,FALSE),""),"")</f>
        <v/>
      </c>
      <c r="AJ16" s="184" t="str">
        <f>IFERROR(IF(데이터입력!$AE$2="추경",VLOOKUP($A16,#REF!,12,FALSE),""),"")</f>
        <v/>
      </c>
      <c r="AK16" s="184" t="str">
        <f>IFERROR(IF(데이터입력!$AE$2="추경",VLOOKUP($A16,#REF!,13,FALSE),""),"")</f>
        <v/>
      </c>
    </row>
    <row r="17" spans="1:37">
      <c r="A17" s="180">
        <v>15</v>
      </c>
      <c r="B17" s="608" t="str">
        <f>IFERROR(IF(F17="06",데이터입력!$AB$8,IF(F17="07",데이터입력!$AD$8,IF(F17="05",데이터입력!$AF$8,데이터입력!$AB$8))),데이터입력!$AB$8)</f>
        <v>00</v>
      </c>
      <c r="C17" s="609" t="str">
        <f>데이터입력!$AC$9</f>
        <v>일반사업[일반]</v>
      </c>
      <c r="D17" s="610" t="str">
        <f>IFERROR(IF(AND(데이터입력!$AE$2="추경",데이터입력!$AM$2=TRUE),VLOOKUP($A17,데이터입력!$A:$H,4,FALSE),""),"")</f>
        <v/>
      </c>
      <c r="E17" s="610" t="str">
        <f>IFERROR(IF(AND(데이터입력!$AE$2="추경",데이터입력!$AM$2=TRUE),VLOOKUP($A17,데이터입력!$A:$H,2,FALSE),""),"")</f>
        <v/>
      </c>
      <c r="F17" s="610" t="str">
        <f>IFERROR(IF(AND(데이터입력!$AE$2="추경",데이터입력!$AM$2=TRUE),VLOOKUP($A17,데이터입력!$A:$H,5,FALSE),""),"")</f>
        <v/>
      </c>
      <c r="G17" s="610" t="str">
        <f>IFERROR(IF(AND(데이터입력!$AE$2="추경",데이터입력!$AM$2=TRUE),VLOOKUP($A17,데이터입력!$A:$H,6,FALSE),""),"")</f>
        <v/>
      </c>
      <c r="H17" s="611" t="str">
        <f>IFERROR(IF(AND(데이터입력!$AE$2="추경",데이터입력!$AM$2=TRUE),VLOOKUP($A17,데이터입력!$A:$L,7,FALSE),""),"")</f>
        <v/>
      </c>
      <c r="I17" s="611" t="str">
        <f>IFERROR(IF(AND(데이터입력!$AE$2="추경",데이터입력!$AM$2=TRUE),VLOOKUP($A17,데이터입력!$A:$L,8,FALSE)+VLOOKUP($A17,데이터입력!$A:$L,9,FALSE)+VLOOKUP($A17,데이터입력!$A:$L,10,FALSE),""),"")</f>
        <v/>
      </c>
      <c r="J17" s="612" t="s">
        <v>135</v>
      </c>
      <c r="K17" s="612" t="s">
        <v>135</v>
      </c>
      <c r="L17" s="612" t="s">
        <v>135</v>
      </c>
      <c r="M17" s="604"/>
      <c r="N17" s="180">
        <v>215</v>
      </c>
      <c r="O17" s="616" t="str">
        <f>IFERROR(IF(S17="06",데이터입력!$AB$8,IF(S17="07",데이터입력!$AD$8,IF(S17="05",데이터입력!$AF$8,데이터입력!$AB$8))),데이터입력!$AB$8)</f>
        <v>00</v>
      </c>
      <c r="P17" s="617" t="str">
        <f>데이터입력!$AC$9</f>
        <v>일반사업[일반]</v>
      </c>
      <c r="Q17" s="618" t="str">
        <f>IFERROR(IF(데이터입력!$AE$2="추경",VLOOKUP($N17,데이터입력!$A:$H,4,FALSE),""),"")</f>
        <v/>
      </c>
      <c r="R17" s="618" t="str">
        <f>IFERROR(IF(데이터입력!$AE$2="추경",VLOOKUP($N17,데이터입력!$A:$H,2,FALSE),""),"")</f>
        <v/>
      </c>
      <c r="S17" s="618" t="str">
        <f>IFERROR(IF(데이터입력!$AE$2="추경",VLOOKUP($N17,데이터입력!$A:$H,5,FALSE),""),"")</f>
        <v/>
      </c>
      <c r="T17" s="618" t="str">
        <f>IFERROR(IF(데이터입력!$AE$2="추경",VLOOKUP($N17,데이터입력!$A:$H,6,FALSE),""),"")</f>
        <v/>
      </c>
      <c r="U17" s="619" t="str">
        <f>IFERROR(IF(데이터입력!$AE$2="추경",VLOOKUP($N17,데이터입력!$A:$L,8,FALSE)+VLOOKUP($N17,데이터입력!$A:$L,9,FALSE)+VLOOKUP($N17,데이터입력!$A:$L,10,FALSE),""),"")</f>
        <v/>
      </c>
      <c r="V17" s="620" t="s">
        <v>135</v>
      </c>
      <c r="W17" s="620" t="s">
        <v>135</v>
      </c>
      <c r="X17" s="620" t="s">
        <v>135</v>
      </c>
      <c r="Y17" s="601"/>
      <c r="Z17" s="182" t="str">
        <f>데이터입력!$AB$8</f>
        <v>00</v>
      </c>
      <c r="AA17" s="185" t="str">
        <f>데이터입력!$AC$9</f>
        <v>일반사업[일반]</v>
      </c>
      <c r="AB17" s="183" t="str">
        <f>IFERROR(IF(데이터입력!$AE$2="추경",VLOOKUP($A17,#REF!,4,FALSE),""),"")</f>
        <v/>
      </c>
      <c r="AC17" s="183" t="str">
        <f>IFERROR(IF(데이터입력!$AE$2="추경",VLOOKUP($A17,#REF!,5,FALSE),""),"")</f>
        <v/>
      </c>
      <c r="AD17" s="183" t="str">
        <f>IFERROR(IF(데이터입력!$AE$2="추경",VLOOKUP($A17,#REF!,6,FALSE),""),"")</f>
        <v/>
      </c>
      <c r="AE17" s="183" t="str">
        <f>IFERROR(IF(데이터입력!$AE$2="추경",VLOOKUP($A17,#REF!,7,FALSE),""),"")</f>
        <v/>
      </c>
      <c r="AF17" s="183"/>
      <c r="AG17" s="184" t="str">
        <f>IFERROR(IF(데이터입력!$AE$2="추경",VLOOKUP($A17,#REF!,9,FALSE),""),"")</f>
        <v/>
      </c>
      <c r="AH17" s="184" t="str">
        <f>IFERROR(IF(데이터입력!$AE$2="추경",VLOOKUP($A17,#REF!,10,FALSE),""),"")</f>
        <v/>
      </c>
      <c r="AI17" s="184" t="str">
        <f>IFERROR(IF(데이터입력!$AE$2="추경",VLOOKUP($A17,#REF!,11,FALSE),""),"")</f>
        <v/>
      </c>
      <c r="AJ17" s="184" t="str">
        <f>IFERROR(IF(데이터입력!$AE$2="추경",VLOOKUP($A17,#REF!,12,FALSE),""),"")</f>
        <v/>
      </c>
      <c r="AK17" s="184" t="str">
        <f>IFERROR(IF(데이터입력!$AE$2="추경",VLOOKUP($A17,#REF!,13,FALSE),""),"")</f>
        <v/>
      </c>
    </row>
    <row r="18" spans="1:37">
      <c r="A18" s="180">
        <v>16</v>
      </c>
      <c r="B18" s="608" t="str">
        <f>IFERROR(IF(F18="06",데이터입력!$AB$8,IF(F18="07",데이터입력!$AD$8,IF(F18="05",데이터입력!$AF$8,데이터입력!$AB$8))),데이터입력!$AB$8)</f>
        <v>00</v>
      </c>
      <c r="C18" s="609" t="str">
        <f>데이터입력!$AC$9</f>
        <v>일반사업[일반]</v>
      </c>
      <c r="D18" s="610" t="str">
        <f>IFERROR(IF(AND(데이터입력!$AE$2="추경",데이터입력!$AM$2=TRUE),VLOOKUP($A18,데이터입력!$A:$H,4,FALSE),""),"")</f>
        <v/>
      </c>
      <c r="E18" s="610" t="str">
        <f>IFERROR(IF(AND(데이터입력!$AE$2="추경",데이터입력!$AM$2=TRUE),VLOOKUP($A18,데이터입력!$A:$H,2,FALSE),""),"")</f>
        <v/>
      </c>
      <c r="F18" s="610" t="str">
        <f>IFERROR(IF(AND(데이터입력!$AE$2="추경",데이터입력!$AM$2=TRUE),VLOOKUP($A18,데이터입력!$A:$H,5,FALSE),""),"")</f>
        <v/>
      </c>
      <c r="G18" s="610" t="str">
        <f>IFERROR(IF(AND(데이터입력!$AE$2="추경",데이터입력!$AM$2=TRUE),VLOOKUP($A18,데이터입력!$A:$H,6,FALSE),""),"")</f>
        <v/>
      </c>
      <c r="H18" s="611" t="str">
        <f>IFERROR(IF(AND(데이터입력!$AE$2="추경",데이터입력!$AM$2=TRUE),VLOOKUP($A18,데이터입력!$A:$L,7,FALSE),""),"")</f>
        <v/>
      </c>
      <c r="I18" s="611" t="str">
        <f>IFERROR(IF(AND(데이터입력!$AE$2="추경",데이터입력!$AM$2=TRUE),VLOOKUP($A18,데이터입력!$A:$L,8,FALSE)+VLOOKUP($A18,데이터입력!$A:$L,9,FALSE)+VLOOKUP($A18,데이터입력!$A:$L,10,FALSE),""),"")</f>
        <v/>
      </c>
      <c r="J18" s="612" t="s">
        <v>135</v>
      </c>
      <c r="K18" s="612" t="s">
        <v>135</v>
      </c>
      <c r="L18" s="612" t="s">
        <v>135</v>
      </c>
      <c r="M18" s="604"/>
      <c r="N18" s="180">
        <v>216</v>
      </c>
      <c r="O18" s="616" t="str">
        <f>IFERROR(IF(S18="06",데이터입력!$AB$8,IF(S18="07",데이터입력!$AD$8,IF(S18="05",데이터입력!$AF$8,데이터입력!$AB$8))),데이터입력!$AB$8)</f>
        <v>00</v>
      </c>
      <c r="P18" s="617" t="str">
        <f>데이터입력!$AC$9</f>
        <v>일반사업[일반]</v>
      </c>
      <c r="Q18" s="618" t="str">
        <f>IFERROR(IF(데이터입력!$AE$2="추경",VLOOKUP($N18,데이터입력!$A:$H,4,FALSE),""),"")</f>
        <v/>
      </c>
      <c r="R18" s="618" t="str">
        <f>IFERROR(IF(데이터입력!$AE$2="추경",VLOOKUP($N18,데이터입력!$A:$H,2,FALSE),""),"")</f>
        <v/>
      </c>
      <c r="S18" s="618" t="str">
        <f>IFERROR(IF(데이터입력!$AE$2="추경",VLOOKUP($N18,데이터입력!$A:$H,5,FALSE),""),"")</f>
        <v/>
      </c>
      <c r="T18" s="618" t="str">
        <f>IFERROR(IF(데이터입력!$AE$2="추경",VLOOKUP($N18,데이터입력!$A:$H,6,FALSE),""),"")</f>
        <v/>
      </c>
      <c r="U18" s="619" t="str">
        <f>IFERROR(IF(데이터입력!$AE$2="추경",VLOOKUP($N18,데이터입력!$A:$L,8,FALSE)+VLOOKUP($N18,데이터입력!$A:$L,9,FALSE)+VLOOKUP($N18,데이터입력!$A:$L,10,FALSE),""),"")</f>
        <v/>
      </c>
      <c r="V18" s="620" t="s">
        <v>135</v>
      </c>
      <c r="W18" s="620" t="s">
        <v>135</v>
      </c>
      <c r="X18" s="620" t="s">
        <v>135</v>
      </c>
      <c r="Y18" s="600"/>
      <c r="Z18" s="182" t="str">
        <f>데이터입력!$AB$8</f>
        <v>00</v>
      </c>
      <c r="AA18" s="185" t="str">
        <f>데이터입력!$AC$9</f>
        <v>일반사업[일반]</v>
      </c>
      <c r="AB18" s="183" t="str">
        <f>IFERROR(IF(데이터입력!$AE$2="추경",VLOOKUP($A18,#REF!,4,FALSE),""),"")</f>
        <v/>
      </c>
      <c r="AC18" s="183" t="str">
        <f>IFERROR(IF(데이터입력!$AE$2="추경",VLOOKUP($A18,#REF!,5,FALSE),""),"")</f>
        <v/>
      </c>
      <c r="AD18" s="183" t="str">
        <f>IFERROR(IF(데이터입력!$AE$2="추경",VLOOKUP($A18,#REF!,6,FALSE),""),"")</f>
        <v/>
      </c>
      <c r="AE18" s="183" t="str">
        <f>IFERROR(IF(데이터입력!$AE$2="추경",VLOOKUP($A18,#REF!,7,FALSE),""),"")</f>
        <v/>
      </c>
      <c r="AF18" s="183"/>
      <c r="AG18" s="184" t="str">
        <f>IFERROR(IF(데이터입력!$AE$2="추경",VLOOKUP($A18,#REF!,9,FALSE),""),"")</f>
        <v/>
      </c>
      <c r="AH18" s="184" t="str">
        <f>IFERROR(IF(데이터입력!$AE$2="추경",VLOOKUP($A18,#REF!,10,FALSE),""),"")</f>
        <v/>
      </c>
      <c r="AI18" s="184" t="str">
        <f>IFERROR(IF(데이터입력!$AE$2="추경",VLOOKUP($A18,#REF!,11,FALSE),""),"")</f>
        <v/>
      </c>
      <c r="AJ18" s="184" t="str">
        <f>IFERROR(IF(데이터입력!$AE$2="추경",VLOOKUP($A18,#REF!,12,FALSE),""),"")</f>
        <v/>
      </c>
      <c r="AK18" s="184" t="str">
        <f>IFERROR(IF(데이터입력!$AE$2="추경",VLOOKUP($A18,#REF!,13,FALSE),""),"")</f>
        <v/>
      </c>
    </row>
    <row r="19" spans="1:37">
      <c r="A19" s="180">
        <v>17</v>
      </c>
      <c r="B19" s="608" t="str">
        <f>IFERROR(IF(F19="06",데이터입력!$AB$8,IF(F19="07",데이터입력!$AD$8,IF(F19="05",데이터입력!$AF$8,데이터입력!$AB$8))),데이터입력!$AB$8)</f>
        <v>00</v>
      </c>
      <c r="C19" s="609" t="str">
        <f>데이터입력!$AC$9</f>
        <v>일반사업[일반]</v>
      </c>
      <c r="D19" s="610" t="str">
        <f>IFERROR(IF(AND(데이터입력!$AE$2="추경",데이터입력!$AM$2=TRUE),VLOOKUP($A19,데이터입력!$A:$H,4,FALSE),""),"")</f>
        <v/>
      </c>
      <c r="E19" s="610" t="str">
        <f>IFERROR(IF(AND(데이터입력!$AE$2="추경",데이터입력!$AM$2=TRUE),VLOOKUP($A19,데이터입력!$A:$H,2,FALSE),""),"")</f>
        <v/>
      </c>
      <c r="F19" s="610" t="str">
        <f>IFERROR(IF(AND(데이터입력!$AE$2="추경",데이터입력!$AM$2=TRUE),VLOOKUP($A19,데이터입력!$A:$H,5,FALSE),""),"")</f>
        <v/>
      </c>
      <c r="G19" s="610" t="str">
        <f>IFERROR(IF(AND(데이터입력!$AE$2="추경",데이터입력!$AM$2=TRUE),VLOOKUP($A19,데이터입력!$A:$H,6,FALSE),""),"")</f>
        <v/>
      </c>
      <c r="H19" s="611" t="str">
        <f>IFERROR(IF(AND(데이터입력!$AE$2="추경",데이터입력!$AM$2=TRUE),VLOOKUP($A19,데이터입력!$A:$L,7,FALSE),""),"")</f>
        <v/>
      </c>
      <c r="I19" s="611" t="str">
        <f>IFERROR(IF(AND(데이터입력!$AE$2="추경",데이터입력!$AM$2=TRUE),VLOOKUP($A19,데이터입력!$A:$L,8,FALSE)+VLOOKUP($A19,데이터입력!$A:$L,9,FALSE)+VLOOKUP($A19,데이터입력!$A:$L,10,FALSE),""),"")</f>
        <v/>
      </c>
      <c r="J19" s="612" t="s">
        <v>135</v>
      </c>
      <c r="K19" s="612" t="s">
        <v>135</v>
      </c>
      <c r="L19" s="612" t="s">
        <v>135</v>
      </c>
      <c r="M19" s="604"/>
      <c r="N19" s="180">
        <v>217</v>
      </c>
      <c r="O19" s="616" t="str">
        <f>IFERROR(IF(S19="06",데이터입력!$AB$8,IF(S19="07",데이터입력!$AD$8,IF(S19="05",데이터입력!$AF$8,데이터입력!$AB$8))),데이터입력!$AB$8)</f>
        <v>00</v>
      </c>
      <c r="P19" s="617" t="str">
        <f>데이터입력!$AC$9</f>
        <v>일반사업[일반]</v>
      </c>
      <c r="Q19" s="618" t="str">
        <f>IFERROR(IF(데이터입력!$AE$2="추경",VLOOKUP($N19,데이터입력!$A:$H,4,FALSE),""),"")</f>
        <v/>
      </c>
      <c r="R19" s="618" t="str">
        <f>IFERROR(IF(데이터입력!$AE$2="추경",VLOOKUP($N19,데이터입력!$A:$H,2,FALSE),""),"")</f>
        <v/>
      </c>
      <c r="S19" s="618" t="str">
        <f>IFERROR(IF(데이터입력!$AE$2="추경",VLOOKUP($N19,데이터입력!$A:$H,5,FALSE),""),"")</f>
        <v/>
      </c>
      <c r="T19" s="618" t="str">
        <f>IFERROR(IF(데이터입력!$AE$2="추경",VLOOKUP($N19,데이터입력!$A:$H,6,FALSE),""),"")</f>
        <v/>
      </c>
      <c r="U19" s="619" t="str">
        <f>IFERROR(IF(데이터입력!$AE$2="추경",VLOOKUP($N19,데이터입력!$A:$L,8,FALSE)+VLOOKUP($N19,데이터입력!$A:$L,9,FALSE)+VLOOKUP($N19,데이터입력!$A:$L,10,FALSE),""),"")</f>
        <v/>
      </c>
      <c r="V19" s="620" t="s">
        <v>135</v>
      </c>
      <c r="W19" s="620" t="s">
        <v>135</v>
      </c>
      <c r="X19" s="620" t="s">
        <v>135</v>
      </c>
      <c r="Y19" s="601"/>
      <c r="Z19" s="182" t="str">
        <f>데이터입력!$AB$8</f>
        <v>00</v>
      </c>
      <c r="AA19" s="185" t="str">
        <f>데이터입력!$AC$9</f>
        <v>일반사업[일반]</v>
      </c>
      <c r="AB19" s="183" t="str">
        <f>IFERROR(IF(데이터입력!$AE$2="추경",VLOOKUP($A19,#REF!,4,FALSE),""),"")</f>
        <v/>
      </c>
      <c r="AC19" s="183" t="str">
        <f>IFERROR(IF(데이터입력!$AE$2="추경",VLOOKUP($A19,#REF!,5,FALSE),""),"")</f>
        <v/>
      </c>
      <c r="AD19" s="183" t="str">
        <f>IFERROR(IF(데이터입력!$AE$2="추경",VLOOKUP($A19,#REF!,6,FALSE),""),"")</f>
        <v/>
      </c>
      <c r="AE19" s="183" t="str">
        <f>IFERROR(IF(데이터입력!$AE$2="추경",VLOOKUP($A19,#REF!,7,FALSE),""),"")</f>
        <v/>
      </c>
      <c r="AF19" s="183"/>
      <c r="AG19" s="184" t="str">
        <f>IFERROR(IF(데이터입력!$AE$2="추경",VLOOKUP($A19,#REF!,9,FALSE),""),"")</f>
        <v/>
      </c>
      <c r="AH19" s="184" t="str">
        <f>IFERROR(IF(데이터입력!$AE$2="추경",VLOOKUP($A19,#REF!,10,FALSE),""),"")</f>
        <v/>
      </c>
      <c r="AI19" s="184" t="str">
        <f>IFERROR(IF(데이터입력!$AE$2="추경",VLOOKUP($A19,#REF!,11,FALSE),""),"")</f>
        <v/>
      </c>
      <c r="AJ19" s="184" t="str">
        <f>IFERROR(IF(데이터입력!$AE$2="추경",VLOOKUP($A19,#REF!,12,FALSE),""),"")</f>
        <v/>
      </c>
      <c r="AK19" s="184" t="str">
        <f>IFERROR(IF(데이터입력!$AE$2="추경",VLOOKUP($A19,#REF!,13,FALSE),""),"")</f>
        <v/>
      </c>
    </row>
    <row r="20" spans="1:37">
      <c r="A20" s="180">
        <v>18</v>
      </c>
      <c r="B20" s="608" t="str">
        <f>IFERROR(IF(F20="06",데이터입력!$AB$8,IF(F20="07",데이터입력!$AD$8,IF(F20="05",데이터입력!$AF$8,데이터입력!$AB$8))),데이터입력!$AB$8)</f>
        <v>00</v>
      </c>
      <c r="C20" s="609" t="str">
        <f>데이터입력!$AC$9</f>
        <v>일반사업[일반]</v>
      </c>
      <c r="D20" s="610" t="str">
        <f>IFERROR(IF(AND(데이터입력!$AE$2="추경",데이터입력!$AM$2=TRUE),VLOOKUP($A20,데이터입력!$A:$H,4,FALSE),""),"")</f>
        <v/>
      </c>
      <c r="E20" s="610" t="str">
        <f>IFERROR(IF(AND(데이터입력!$AE$2="추경",데이터입력!$AM$2=TRUE),VLOOKUP($A20,데이터입력!$A:$H,2,FALSE),""),"")</f>
        <v/>
      </c>
      <c r="F20" s="610" t="str">
        <f>IFERROR(IF(AND(데이터입력!$AE$2="추경",데이터입력!$AM$2=TRUE),VLOOKUP($A20,데이터입력!$A:$H,5,FALSE),""),"")</f>
        <v/>
      </c>
      <c r="G20" s="610" t="str">
        <f>IFERROR(IF(AND(데이터입력!$AE$2="추경",데이터입력!$AM$2=TRUE),VLOOKUP($A20,데이터입력!$A:$H,6,FALSE),""),"")</f>
        <v/>
      </c>
      <c r="H20" s="611" t="str">
        <f>IFERROR(IF(AND(데이터입력!$AE$2="추경",데이터입력!$AM$2=TRUE),VLOOKUP($A20,데이터입력!$A:$L,7,FALSE),""),"")</f>
        <v/>
      </c>
      <c r="I20" s="611" t="str">
        <f>IFERROR(IF(AND(데이터입력!$AE$2="추경",데이터입력!$AM$2=TRUE),VLOOKUP($A20,데이터입력!$A:$L,8,FALSE)+VLOOKUP($A20,데이터입력!$A:$L,9,FALSE)+VLOOKUP($A20,데이터입력!$A:$L,10,FALSE),""),"")</f>
        <v/>
      </c>
      <c r="J20" s="612" t="s">
        <v>135</v>
      </c>
      <c r="K20" s="612" t="s">
        <v>135</v>
      </c>
      <c r="L20" s="612" t="s">
        <v>135</v>
      </c>
      <c r="M20" s="604"/>
      <c r="N20" s="180">
        <v>218</v>
      </c>
      <c r="O20" s="616" t="str">
        <f>IFERROR(IF(S20="06",데이터입력!$AB$8,IF(S20="07",데이터입력!$AD$8,IF(S20="05",데이터입력!$AF$8,데이터입력!$AB$8))),데이터입력!$AB$8)</f>
        <v>00</v>
      </c>
      <c r="P20" s="617" t="str">
        <f>데이터입력!$AC$9</f>
        <v>일반사업[일반]</v>
      </c>
      <c r="Q20" s="618" t="str">
        <f>IFERROR(IF(데이터입력!$AE$2="추경",VLOOKUP($N20,데이터입력!$A:$H,4,FALSE),""),"")</f>
        <v/>
      </c>
      <c r="R20" s="618" t="str">
        <f>IFERROR(IF(데이터입력!$AE$2="추경",VLOOKUP($N20,데이터입력!$A:$H,2,FALSE),""),"")</f>
        <v/>
      </c>
      <c r="S20" s="618" t="str">
        <f>IFERROR(IF(데이터입력!$AE$2="추경",VLOOKUP($N20,데이터입력!$A:$H,5,FALSE),""),"")</f>
        <v/>
      </c>
      <c r="T20" s="618" t="str">
        <f>IFERROR(IF(데이터입력!$AE$2="추경",VLOOKUP($N20,데이터입력!$A:$H,6,FALSE),""),"")</f>
        <v/>
      </c>
      <c r="U20" s="619" t="str">
        <f>IFERROR(IF(데이터입력!$AE$2="추경",VLOOKUP($N20,데이터입력!$A:$L,8,FALSE)+VLOOKUP($N20,데이터입력!$A:$L,9,FALSE)+VLOOKUP($N20,데이터입력!$A:$L,10,FALSE),""),"")</f>
        <v/>
      </c>
      <c r="V20" s="620" t="s">
        <v>135</v>
      </c>
      <c r="W20" s="620" t="s">
        <v>135</v>
      </c>
      <c r="X20" s="620" t="s">
        <v>135</v>
      </c>
      <c r="Y20" s="600"/>
      <c r="Z20" s="182" t="str">
        <f>데이터입력!$AB$8</f>
        <v>00</v>
      </c>
      <c r="AA20" s="185" t="str">
        <f>데이터입력!$AC$9</f>
        <v>일반사업[일반]</v>
      </c>
      <c r="AB20" s="183" t="str">
        <f>IFERROR(IF(데이터입력!$AE$2="추경",VLOOKUP($A20,#REF!,4,FALSE),""),"")</f>
        <v/>
      </c>
      <c r="AC20" s="183" t="str">
        <f>IFERROR(IF(데이터입력!$AE$2="추경",VLOOKUP($A20,#REF!,5,FALSE),""),"")</f>
        <v/>
      </c>
      <c r="AD20" s="183" t="str">
        <f>IFERROR(IF(데이터입력!$AE$2="추경",VLOOKUP($A20,#REF!,6,FALSE),""),"")</f>
        <v/>
      </c>
      <c r="AE20" s="183" t="str">
        <f>IFERROR(IF(데이터입력!$AE$2="추경",VLOOKUP($A20,#REF!,7,FALSE),""),"")</f>
        <v/>
      </c>
      <c r="AF20" s="183"/>
      <c r="AG20" s="184" t="str">
        <f>IFERROR(IF(데이터입력!$AE$2="추경",VLOOKUP($A20,#REF!,9,FALSE),""),"")</f>
        <v/>
      </c>
      <c r="AH20" s="184" t="str">
        <f>IFERROR(IF(데이터입력!$AE$2="추경",VLOOKUP($A20,#REF!,10,FALSE),""),"")</f>
        <v/>
      </c>
      <c r="AI20" s="184" t="str">
        <f>IFERROR(IF(데이터입력!$AE$2="추경",VLOOKUP($A20,#REF!,11,FALSE),""),"")</f>
        <v/>
      </c>
      <c r="AJ20" s="184" t="str">
        <f>IFERROR(IF(데이터입력!$AE$2="추경",VLOOKUP($A20,#REF!,12,FALSE),""),"")</f>
        <v/>
      </c>
      <c r="AK20" s="184" t="str">
        <f>IFERROR(IF(데이터입력!$AE$2="추경",VLOOKUP($A20,#REF!,13,FALSE),""),"")</f>
        <v/>
      </c>
    </row>
    <row r="21" spans="1:37">
      <c r="A21" s="180">
        <v>19</v>
      </c>
      <c r="B21" s="608" t="str">
        <f>IFERROR(IF(F21="06",데이터입력!$AB$8,IF(F21="07",데이터입력!$AD$8,IF(F21="05",데이터입력!$AF$8,데이터입력!$AB$8))),데이터입력!$AB$8)</f>
        <v>00</v>
      </c>
      <c r="C21" s="609" t="str">
        <f>데이터입력!$AC$9</f>
        <v>일반사업[일반]</v>
      </c>
      <c r="D21" s="610" t="str">
        <f>IFERROR(IF(AND(데이터입력!$AE$2="추경",데이터입력!$AM$2=TRUE),VLOOKUP($A21,데이터입력!$A:$H,4,FALSE),""),"")</f>
        <v/>
      </c>
      <c r="E21" s="610" t="str">
        <f>IFERROR(IF(AND(데이터입력!$AE$2="추경",데이터입력!$AM$2=TRUE),VLOOKUP($A21,데이터입력!$A:$H,2,FALSE),""),"")</f>
        <v/>
      </c>
      <c r="F21" s="610" t="str">
        <f>IFERROR(IF(AND(데이터입력!$AE$2="추경",데이터입력!$AM$2=TRUE),VLOOKUP($A21,데이터입력!$A:$H,5,FALSE),""),"")</f>
        <v/>
      </c>
      <c r="G21" s="610" t="str">
        <f>IFERROR(IF(AND(데이터입력!$AE$2="추경",데이터입력!$AM$2=TRUE),VLOOKUP($A21,데이터입력!$A:$H,6,FALSE),""),"")</f>
        <v/>
      </c>
      <c r="H21" s="611" t="str">
        <f>IFERROR(IF(AND(데이터입력!$AE$2="추경",데이터입력!$AM$2=TRUE),VLOOKUP($A21,데이터입력!$A:$L,7,FALSE),""),"")</f>
        <v/>
      </c>
      <c r="I21" s="611" t="str">
        <f>IFERROR(IF(AND(데이터입력!$AE$2="추경",데이터입력!$AM$2=TRUE),VLOOKUP($A21,데이터입력!$A:$L,8,FALSE)+VLOOKUP($A21,데이터입력!$A:$L,9,FALSE)+VLOOKUP($A21,데이터입력!$A:$L,10,FALSE),""),"")</f>
        <v/>
      </c>
      <c r="J21" s="612" t="s">
        <v>135</v>
      </c>
      <c r="K21" s="612" t="s">
        <v>135</v>
      </c>
      <c r="L21" s="612" t="s">
        <v>135</v>
      </c>
      <c r="M21" s="604"/>
      <c r="N21" s="180">
        <v>219</v>
      </c>
      <c r="O21" s="616" t="str">
        <f>IFERROR(IF(S21="06",데이터입력!$AB$8,IF(S21="07",데이터입력!$AD$8,IF(S21="05",데이터입력!$AF$8,데이터입력!$AB$8))),데이터입력!$AB$8)</f>
        <v>00</v>
      </c>
      <c r="P21" s="617" t="str">
        <f>데이터입력!$AC$9</f>
        <v>일반사업[일반]</v>
      </c>
      <c r="Q21" s="618" t="str">
        <f>IFERROR(IF(데이터입력!$AE$2="추경",VLOOKUP($N21,데이터입력!$A:$H,4,FALSE),""),"")</f>
        <v/>
      </c>
      <c r="R21" s="618" t="str">
        <f>IFERROR(IF(데이터입력!$AE$2="추경",VLOOKUP($N21,데이터입력!$A:$H,2,FALSE),""),"")</f>
        <v/>
      </c>
      <c r="S21" s="618" t="str">
        <f>IFERROR(IF(데이터입력!$AE$2="추경",VLOOKUP($N21,데이터입력!$A:$H,5,FALSE),""),"")</f>
        <v/>
      </c>
      <c r="T21" s="618" t="str">
        <f>IFERROR(IF(데이터입력!$AE$2="추경",VLOOKUP($N21,데이터입력!$A:$H,6,FALSE),""),"")</f>
        <v/>
      </c>
      <c r="U21" s="619" t="str">
        <f>IFERROR(IF(데이터입력!$AE$2="추경",VLOOKUP($N21,데이터입력!$A:$L,8,FALSE)+VLOOKUP($N21,데이터입력!$A:$L,9,FALSE)+VLOOKUP($N21,데이터입력!$A:$L,10,FALSE),""),"")</f>
        <v/>
      </c>
      <c r="V21" s="620" t="s">
        <v>135</v>
      </c>
      <c r="W21" s="620" t="s">
        <v>135</v>
      </c>
      <c r="X21" s="620" t="s">
        <v>135</v>
      </c>
      <c r="Y21" s="601"/>
      <c r="Z21" s="182" t="str">
        <f>데이터입력!$AB$8</f>
        <v>00</v>
      </c>
      <c r="AA21" s="185" t="str">
        <f>데이터입력!$AC$9</f>
        <v>일반사업[일반]</v>
      </c>
      <c r="AB21" s="183" t="str">
        <f>IFERROR(IF(데이터입력!$AE$2="추경",VLOOKUP($A21,#REF!,4,FALSE),""),"")</f>
        <v/>
      </c>
      <c r="AC21" s="183" t="str">
        <f>IFERROR(IF(데이터입력!$AE$2="추경",VLOOKUP($A21,#REF!,5,FALSE),""),"")</f>
        <v/>
      </c>
      <c r="AD21" s="183" t="str">
        <f>IFERROR(IF(데이터입력!$AE$2="추경",VLOOKUP($A21,#REF!,6,FALSE),""),"")</f>
        <v/>
      </c>
      <c r="AE21" s="183" t="str">
        <f>IFERROR(IF(데이터입력!$AE$2="추경",VLOOKUP($A21,#REF!,7,FALSE),""),"")</f>
        <v/>
      </c>
      <c r="AF21" s="183"/>
      <c r="AG21" s="184" t="str">
        <f>IFERROR(IF(데이터입력!$AE$2="추경",VLOOKUP($A21,#REF!,9,FALSE),""),"")</f>
        <v/>
      </c>
      <c r="AH21" s="184" t="str">
        <f>IFERROR(IF(데이터입력!$AE$2="추경",VLOOKUP($A21,#REF!,10,FALSE),""),"")</f>
        <v/>
      </c>
      <c r="AI21" s="184" t="str">
        <f>IFERROR(IF(데이터입력!$AE$2="추경",VLOOKUP($A21,#REF!,11,FALSE),""),"")</f>
        <v/>
      </c>
      <c r="AJ21" s="184" t="str">
        <f>IFERROR(IF(데이터입력!$AE$2="추경",VLOOKUP($A21,#REF!,12,FALSE),""),"")</f>
        <v/>
      </c>
      <c r="AK21" s="184" t="str">
        <f>IFERROR(IF(데이터입력!$AE$2="추경",VLOOKUP($A21,#REF!,13,FALSE),""),"")</f>
        <v/>
      </c>
    </row>
    <row r="22" spans="1:37">
      <c r="A22" s="180">
        <v>20</v>
      </c>
      <c r="B22" s="608" t="str">
        <f>IFERROR(IF(F22="06",데이터입력!$AB$8,IF(F22="07",데이터입력!$AD$8,IF(F22="05",데이터입력!$AF$8,데이터입력!$AB$8))),데이터입력!$AB$8)</f>
        <v>00</v>
      </c>
      <c r="C22" s="609" t="str">
        <f>데이터입력!$AC$9</f>
        <v>일반사업[일반]</v>
      </c>
      <c r="D22" s="610" t="str">
        <f>IFERROR(IF(AND(데이터입력!$AE$2="추경",데이터입력!$AM$2=TRUE),VLOOKUP($A22,데이터입력!$A:$H,4,FALSE),""),"")</f>
        <v/>
      </c>
      <c r="E22" s="610" t="str">
        <f>IFERROR(IF(AND(데이터입력!$AE$2="추경",데이터입력!$AM$2=TRUE),VLOOKUP($A22,데이터입력!$A:$H,2,FALSE),""),"")</f>
        <v/>
      </c>
      <c r="F22" s="610" t="str">
        <f>IFERROR(IF(AND(데이터입력!$AE$2="추경",데이터입력!$AM$2=TRUE),VLOOKUP($A22,데이터입력!$A:$H,5,FALSE),""),"")</f>
        <v/>
      </c>
      <c r="G22" s="610" t="str">
        <f>IFERROR(IF(AND(데이터입력!$AE$2="추경",데이터입력!$AM$2=TRUE),VLOOKUP($A22,데이터입력!$A:$H,6,FALSE),""),"")</f>
        <v/>
      </c>
      <c r="H22" s="611" t="str">
        <f>IFERROR(IF(AND(데이터입력!$AE$2="추경",데이터입력!$AM$2=TRUE),VLOOKUP($A22,데이터입력!$A:$L,7,FALSE),""),"")</f>
        <v/>
      </c>
      <c r="I22" s="611" t="str">
        <f>IFERROR(IF(AND(데이터입력!$AE$2="추경",데이터입력!$AM$2=TRUE),VLOOKUP($A22,데이터입력!$A:$L,8,FALSE)+VLOOKUP($A22,데이터입력!$A:$L,9,FALSE)+VLOOKUP($A22,데이터입력!$A:$L,10,FALSE),""),"")</f>
        <v/>
      </c>
      <c r="J22" s="612" t="s">
        <v>135</v>
      </c>
      <c r="K22" s="612" t="s">
        <v>135</v>
      </c>
      <c r="L22" s="612" t="s">
        <v>135</v>
      </c>
      <c r="M22" s="604"/>
      <c r="N22" s="180">
        <v>220</v>
      </c>
      <c r="O22" s="616" t="str">
        <f>IFERROR(IF(S22="06",데이터입력!$AB$8,IF(S22="07",데이터입력!$AD$8,IF(S22="05",데이터입력!$AF$8,데이터입력!$AB$8))),데이터입력!$AB$8)</f>
        <v>00</v>
      </c>
      <c r="P22" s="617" t="str">
        <f>데이터입력!$AC$9</f>
        <v>일반사업[일반]</v>
      </c>
      <c r="Q22" s="618" t="str">
        <f>IFERROR(IF(데이터입력!$AE$2="추경",VLOOKUP($N22,데이터입력!$A:$H,4,FALSE),""),"")</f>
        <v/>
      </c>
      <c r="R22" s="618" t="str">
        <f>IFERROR(IF(데이터입력!$AE$2="추경",VLOOKUP($N22,데이터입력!$A:$H,2,FALSE),""),"")</f>
        <v/>
      </c>
      <c r="S22" s="618" t="str">
        <f>IFERROR(IF(데이터입력!$AE$2="추경",VLOOKUP($N22,데이터입력!$A:$H,5,FALSE),""),"")</f>
        <v/>
      </c>
      <c r="T22" s="618" t="str">
        <f>IFERROR(IF(데이터입력!$AE$2="추경",VLOOKUP($N22,데이터입력!$A:$H,6,FALSE),""),"")</f>
        <v/>
      </c>
      <c r="U22" s="619" t="str">
        <f>IFERROR(IF(데이터입력!$AE$2="추경",VLOOKUP($N22,데이터입력!$A:$L,8,FALSE)+VLOOKUP($N22,데이터입력!$A:$L,9,FALSE)+VLOOKUP($N22,데이터입력!$A:$L,10,FALSE),""),"")</f>
        <v/>
      </c>
      <c r="V22" s="620" t="s">
        <v>135</v>
      </c>
      <c r="W22" s="620" t="s">
        <v>135</v>
      </c>
      <c r="X22" s="620" t="s">
        <v>135</v>
      </c>
      <c r="Y22" s="600"/>
      <c r="Z22" s="182" t="str">
        <f>데이터입력!$AB$8</f>
        <v>00</v>
      </c>
      <c r="AA22" s="185" t="str">
        <f>데이터입력!$AC$9</f>
        <v>일반사업[일반]</v>
      </c>
      <c r="AB22" s="183" t="str">
        <f>IFERROR(IF(데이터입력!$AE$2="추경",VLOOKUP($A22,#REF!,4,FALSE),""),"")</f>
        <v/>
      </c>
      <c r="AC22" s="183" t="str">
        <f>IFERROR(IF(데이터입력!$AE$2="추경",VLOOKUP($A22,#REF!,5,FALSE),""),"")</f>
        <v/>
      </c>
      <c r="AD22" s="183" t="str">
        <f>IFERROR(IF(데이터입력!$AE$2="추경",VLOOKUP($A22,#REF!,6,FALSE),""),"")</f>
        <v/>
      </c>
      <c r="AE22" s="183" t="str">
        <f>IFERROR(IF(데이터입력!$AE$2="추경",VLOOKUP($A22,#REF!,7,FALSE),""),"")</f>
        <v/>
      </c>
      <c r="AF22" s="183"/>
      <c r="AG22" s="184" t="str">
        <f>IFERROR(IF(데이터입력!$AE$2="추경",VLOOKUP($A22,#REF!,9,FALSE),""),"")</f>
        <v/>
      </c>
      <c r="AH22" s="184" t="str">
        <f>IFERROR(IF(데이터입력!$AE$2="추경",VLOOKUP($A22,#REF!,10,FALSE),""),"")</f>
        <v/>
      </c>
      <c r="AI22" s="184" t="str">
        <f>IFERROR(IF(데이터입력!$AE$2="추경",VLOOKUP($A22,#REF!,11,FALSE),""),"")</f>
        <v/>
      </c>
      <c r="AJ22" s="184" t="str">
        <f>IFERROR(IF(데이터입력!$AE$2="추경",VLOOKUP($A22,#REF!,12,FALSE),""),"")</f>
        <v/>
      </c>
      <c r="AK22" s="184" t="str">
        <f>IFERROR(IF(데이터입력!$AE$2="추경",VLOOKUP($A22,#REF!,13,FALSE),""),"")</f>
        <v/>
      </c>
    </row>
    <row r="23" spans="1:37">
      <c r="A23" s="180">
        <v>21</v>
      </c>
      <c r="B23" s="608" t="str">
        <f>IFERROR(IF(F23="06",데이터입력!$AB$8,IF(F23="07",데이터입력!$AD$8,IF(F23="05",데이터입력!$AF$8,데이터입력!$AB$8))),데이터입력!$AB$8)</f>
        <v>00</v>
      </c>
      <c r="C23" s="609" t="str">
        <f>데이터입력!$AC$9</f>
        <v>일반사업[일반]</v>
      </c>
      <c r="D23" s="610" t="str">
        <f>IFERROR(IF(AND(데이터입력!$AE$2="추경",데이터입력!$AM$2=TRUE),VLOOKUP($A23,데이터입력!$A:$H,4,FALSE),""),"")</f>
        <v/>
      </c>
      <c r="E23" s="610" t="str">
        <f>IFERROR(IF(AND(데이터입력!$AE$2="추경",데이터입력!$AM$2=TRUE),VLOOKUP($A23,데이터입력!$A:$H,2,FALSE),""),"")</f>
        <v/>
      </c>
      <c r="F23" s="610" t="str">
        <f>IFERROR(IF(AND(데이터입력!$AE$2="추경",데이터입력!$AM$2=TRUE),VLOOKUP($A23,데이터입력!$A:$H,5,FALSE),""),"")</f>
        <v/>
      </c>
      <c r="G23" s="610" t="str">
        <f>IFERROR(IF(AND(데이터입력!$AE$2="추경",데이터입력!$AM$2=TRUE),VLOOKUP($A23,데이터입력!$A:$H,6,FALSE),""),"")</f>
        <v/>
      </c>
      <c r="H23" s="611" t="str">
        <f>IFERROR(IF(AND(데이터입력!$AE$2="추경",데이터입력!$AM$2=TRUE),VLOOKUP($A23,데이터입력!$A:$L,7,FALSE),""),"")</f>
        <v/>
      </c>
      <c r="I23" s="611" t="str">
        <f>IFERROR(IF(AND(데이터입력!$AE$2="추경",데이터입력!$AM$2=TRUE),VLOOKUP($A23,데이터입력!$A:$L,8,FALSE)+VLOOKUP($A23,데이터입력!$A:$L,9,FALSE)+VLOOKUP($A23,데이터입력!$A:$L,10,FALSE),""),"")</f>
        <v/>
      </c>
      <c r="J23" s="612" t="s">
        <v>135</v>
      </c>
      <c r="K23" s="612" t="s">
        <v>135</v>
      </c>
      <c r="L23" s="612" t="s">
        <v>135</v>
      </c>
      <c r="M23" s="604"/>
      <c r="N23" s="180">
        <v>221</v>
      </c>
      <c r="O23" s="616" t="str">
        <f>IFERROR(IF(S23="06",데이터입력!$AB$8,IF(S23="07",데이터입력!$AD$8,IF(S23="05",데이터입력!$AF$8,데이터입력!$AB$8))),데이터입력!$AB$8)</f>
        <v>00</v>
      </c>
      <c r="P23" s="617" t="str">
        <f>데이터입력!$AC$9</f>
        <v>일반사업[일반]</v>
      </c>
      <c r="Q23" s="618" t="str">
        <f>IFERROR(IF(데이터입력!$AE$2="추경",VLOOKUP($N23,데이터입력!$A:$H,4,FALSE),""),"")</f>
        <v/>
      </c>
      <c r="R23" s="618" t="str">
        <f>IFERROR(IF(데이터입력!$AE$2="추경",VLOOKUP($N23,데이터입력!$A:$H,2,FALSE),""),"")</f>
        <v/>
      </c>
      <c r="S23" s="618" t="str">
        <f>IFERROR(IF(데이터입력!$AE$2="추경",VLOOKUP($N23,데이터입력!$A:$H,5,FALSE),""),"")</f>
        <v/>
      </c>
      <c r="T23" s="618" t="str">
        <f>IFERROR(IF(데이터입력!$AE$2="추경",VLOOKUP($N23,데이터입력!$A:$H,6,FALSE),""),"")</f>
        <v/>
      </c>
      <c r="U23" s="619" t="str">
        <f>IFERROR(IF(데이터입력!$AE$2="추경",VLOOKUP($N23,데이터입력!$A:$L,8,FALSE)+VLOOKUP($N23,데이터입력!$A:$L,9,FALSE)+VLOOKUP($N23,데이터입력!$A:$L,10,FALSE),""),"")</f>
        <v/>
      </c>
      <c r="V23" s="620" t="s">
        <v>135</v>
      </c>
      <c r="W23" s="620" t="s">
        <v>135</v>
      </c>
      <c r="X23" s="620" t="s">
        <v>135</v>
      </c>
      <c r="Y23" s="601"/>
      <c r="Z23" s="182" t="str">
        <f>데이터입력!$AB$8</f>
        <v>00</v>
      </c>
      <c r="AA23" s="185" t="str">
        <f>데이터입력!$AC$9</f>
        <v>일반사업[일반]</v>
      </c>
      <c r="AB23" s="183" t="str">
        <f>IFERROR(IF(데이터입력!$AE$2="추경",VLOOKUP($A23,#REF!,4,FALSE),""),"")</f>
        <v/>
      </c>
      <c r="AC23" s="183" t="str">
        <f>IFERROR(IF(데이터입력!$AE$2="추경",VLOOKUP($A23,#REF!,5,FALSE),""),"")</f>
        <v/>
      </c>
      <c r="AD23" s="183" t="str">
        <f>IFERROR(IF(데이터입력!$AE$2="추경",VLOOKUP($A23,#REF!,6,FALSE),""),"")</f>
        <v/>
      </c>
      <c r="AE23" s="183" t="str">
        <f>IFERROR(IF(데이터입력!$AE$2="추경",VLOOKUP($A23,#REF!,7,FALSE),""),"")</f>
        <v/>
      </c>
      <c r="AF23" s="183"/>
      <c r="AG23" s="184" t="str">
        <f>IFERROR(IF(데이터입력!$AE$2="추경",VLOOKUP($A23,#REF!,9,FALSE),""),"")</f>
        <v/>
      </c>
      <c r="AH23" s="184" t="str">
        <f>IFERROR(IF(데이터입력!$AE$2="추경",VLOOKUP($A23,#REF!,10,FALSE),""),"")</f>
        <v/>
      </c>
      <c r="AI23" s="184" t="str">
        <f>IFERROR(IF(데이터입력!$AE$2="추경",VLOOKUP($A23,#REF!,11,FALSE),""),"")</f>
        <v/>
      </c>
      <c r="AJ23" s="184" t="str">
        <f>IFERROR(IF(데이터입력!$AE$2="추경",VLOOKUP($A23,#REF!,12,FALSE),""),"")</f>
        <v/>
      </c>
      <c r="AK23" s="184" t="str">
        <f>IFERROR(IF(데이터입력!$AE$2="추경",VLOOKUP($A23,#REF!,13,FALSE),""),"")</f>
        <v/>
      </c>
    </row>
    <row r="24" spans="1:37">
      <c r="A24" s="180">
        <v>22</v>
      </c>
      <c r="B24" s="608" t="str">
        <f>IFERROR(IF(F24="06",데이터입력!$AB$8,IF(F24="07",데이터입력!$AD$8,IF(F24="05",데이터입력!$AF$8,데이터입력!$AB$8))),데이터입력!$AB$8)</f>
        <v>00</v>
      </c>
      <c r="C24" s="609" t="str">
        <f>데이터입력!$AC$9</f>
        <v>일반사업[일반]</v>
      </c>
      <c r="D24" s="610" t="str">
        <f>IFERROR(IF(AND(데이터입력!$AE$2="추경",데이터입력!$AM$2=TRUE),VLOOKUP($A24,데이터입력!$A:$H,4,FALSE),""),"")</f>
        <v/>
      </c>
      <c r="E24" s="610" t="str">
        <f>IFERROR(IF(AND(데이터입력!$AE$2="추경",데이터입력!$AM$2=TRUE),VLOOKUP($A24,데이터입력!$A:$H,2,FALSE),""),"")</f>
        <v/>
      </c>
      <c r="F24" s="610" t="str">
        <f>IFERROR(IF(AND(데이터입력!$AE$2="추경",데이터입력!$AM$2=TRUE),VLOOKUP($A24,데이터입력!$A:$H,5,FALSE),""),"")</f>
        <v/>
      </c>
      <c r="G24" s="610" t="str">
        <f>IFERROR(IF(AND(데이터입력!$AE$2="추경",데이터입력!$AM$2=TRUE),VLOOKUP($A24,데이터입력!$A:$H,6,FALSE),""),"")</f>
        <v/>
      </c>
      <c r="H24" s="611" t="str">
        <f>IFERROR(IF(AND(데이터입력!$AE$2="추경",데이터입력!$AM$2=TRUE),VLOOKUP($A24,데이터입력!$A:$L,7,FALSE),""),"")</f>
        <v/>
      </c>
      <c r="I24" s="611" t="str">
        <f>IFERROR(IF(AND(데이터입력!$AE$2="추경",데이터입력!$AM$2=TRUE),VLOOKUP($A24,데이터입력!$A:$L,8,FALSE)+VLOOKUP($A24,데이터입력!$A:$L,9,FALSE)+VLOOKUP($A24,데이터입력!$A:$L,10,FALSE),""),"")</f>
        <v/>
      </c>
      <c r="J24" s="612" t="s">
        <v>135</v>
      </c>
      <c r="K24" s="612" t="s">
        <v>135</v>
      </c>
      <c r="L24" s="612" t="s">
        <v>135</v>
      </c>
      <c r="M24" s="604"/>
      <c r="N24" s="180">
        <v>222</v>
      </c>
      <c r="O24" s="616" t="str">
        <f>IFERROR(IF(S24="06",데이터입력!$AB$8,IF(S24="07",데이터입력!$AD$8,IF(S24="05",데이터입력!$AF$8,데이터입력!$AB$8))),데이터입력!$AB$8)</f>
        <v>00</v>
      </c>
      <c r="P24" s="617" t="str">
        <f>데이터입력!$AC$9</f>
        <v>일반사업[일반]</v>
      </c>
      <c r="Q24" s="618" t="str">
        <f>IFERROR(IF(데이터입력!$AE$2="추경",VLOOKUP($N24,데이터입력!$A:$H,4,FALSE),""),"")</f>
        <v/>
      </c>
      <c r="R24" s="618" t="str">
        <f>IFERROR(IF(데이터입력!$AE$2="추경",VLOOKUP($N24,데이터입력!$A:$H,2,FALSE),""),"")</f>
        <v/>
      </c>
      <c r="S24" s="618" t="str">
        <f>IFERROR(IF(데이터입력!$AE$2="추경",VLOOKUP($N24,데이터입력!$A:$H,5,FALSE),""),"")</f>
        <v/>
      </c>
      <c r="T24" s="618" t="str">
        <f>IFERROR(IF(데이터입력!$AE$2="추경",VLOOKUP($N24,데이터입력!$A:$H,6,FALSE),""),"")</f>
        <v/>
      </c>
      <c r="U24" s="619" t="str">
        <f>IFERROR(IF(데이터입력!$AE$2="추경",VLOOKUP($N24,데이터입력!$A:$L,8,FALSE)+VLOOKUP($N24,데이터입력!$A:$L,9,FALSE)+VLOOKUP($N24,데이터입력!$A:$L,10,FALSE),""),"")</f>
        <v/>
      </c>
      <c r="V24" s="620" t="s">
        <v>135</v>
      </c>
      <c r="W24" s="620" t="s">
        <v>135</v>
      </c>
      <c r="X24" s="620" t="s">
        <v>135</v>
      </c>
      <c r="Y24" s="600"/>
      <c r="Z24" s="182" t="str">
        <f>데이터입력!$AB$8</f>
        <v>00</v>
      </c>
      <c r="AA24" s="185" t="str">
        <f>데이터입력!$AC$9</f>
        <v>일반사업[일반]</v>
      </c>
      <c r="AB24" s="183" t="str">
        <f>IFERROR(IF(데이터입력!$AE$2="추경",VLOOKUP($A24,#REF!,4,FALSE),""),"")</f>
        <v/>
      </c>
      <c r="AC24" s="183" t="str">
        <f>IFERROR(IF(데이터입력!$AE$2="추경",VLOOKUP($A24,#REF!,5,FALSE),""),"")</f>
        <v/>
      </c>
      <c r="AD24" s="183" t="str">
        <f>IFERROR(IF(데이터입력!$AE$2="추경",VLOOKUP($A24,#REF!,6,FALSE),""),"")</f>
        <v/>
      </c>
      <c r="AE24" s="183" t="str">
        <f>IFERROR(IF(데이터입력!$AE$2="추경",VLOOKUP($A24,#REF!,7,FALSE),""),"")</f>
        <v/>
      </c>
      <c r="AF24" s="183"/>
      <c r="AG24" s="184" t="str">
        <f>IFERROR(IF(데이터입력!$AE$2="추경",VLOOKUP($A24,#REF!,9,FALSE),""),"")</f>
        <v/>
      </c>
      <c r="AH24" s="184" t="str">
        <f>IFERROR(IF(데이터입력!$AE$2="추경",VLOOKUP($A24,#REF!,10,FALSE),""),"")</f>
        <v/>
      </c>
      <c r="AI24" s="184" t="str">
        <f>IFERROR(IF(데이터입력!$AE$2="추경",VLOOKUP($A24,#REF!,11,FALSE),""),"")</f>
        <v/>
      </c>
      <c r="AJ24" s="184" t="str">
        <f>IFERROR(IF(데이터입력!$AE$2="추경",VLOOKUP($A24,#REF!,12,FALSE),""),"")</f>
        <v/>
      </c>
      <c r="AK24" s="184" t="str">
        <f>IFERROR(IF(데이터입력!$AE$2="추경",VLOOKUP($A24,#REF!,13,FALSE),""),"")</f>
        <v/>
      </c>
    </row>
    <row r="25" spans="1:37">
      <c r="A25" s="180">
        <v>23</v>
      </c>
      <c r="B25" s="608" t="str">
        <f>IFERROR(IF(F25="06",데이터입력!$AB$8,IF(F25="07",데이터입력!$AD$8,IF(F25="05",데이터입력!$AF$8,데이터입력!$AB$8))),데이터입력!$AB$8)</f>
        <v>00</v>
      </c>
      <c r="C25" s="609" t="str">
        <f>데이터입력!$AC$9</f>
        <v>일반사업[일반]</v>
      </c>
      <c r="D25" s="610" t="str">
        <f>IFERROR(IF(AND(데이터입력!$AE$2="추경",데이터입력!$AM$2=TRUE),VLOOKUP($A25,데이터입력!$A:$H,4,FALSE),""),"")</f>
        <v/>
      </c>
      <c r="E25" s="610" t="str">
        <f>IFERROR(IF(AND(데이터입력!$AE$2="추경",데이터입력!$AM$2=TRUE),VLOOKUP($A25,데이터입력!$A:$H,2,FALSE),""),"")</f>
        <v/>
      </c>
      <c r="F25" s="610" t="str">
        <f>IFERROR(IF(AND(데이터입력!$AE$2="추경",데이터입력!$AM$2=TRUE),VLOOKUP($A25,데이터입력!$A:$H,5,FALSE),""),"")</f>
        <v/>
      </c>
      <c r="G25" s="610" t="str">
        <f>IFERROR(IF(AND(데이터입력!$AE$2="추경",데이터입력!$AM$2=TRUE),VLOOKUP($A25,데이터입력!$A:$H,6,FALSE),""),"")</f>
        <v/>
      </c>
      <c r="H25" s="611" t="str">
        <f>IFERROR(IF(AND(데이터입력!$AE$2="추경",데이터입력!$AM$2=TRUE),VLOOKUP($A25,데이터입력!$A:$L,7,FALSE),""),"")</f>
        <v/>
      </c>
      <c r="I25" s="611" t="str">
        <f>IFERROR(IF(AND(데이터입력!$AE$2="추경",데이터입력!$AM$2=TRUE),VLOOKUP($A25,데이터입력!$A:$L,8,FALSE)+VLOOKUP($A25,데이터입력!$A:$L,9,FALSE)+VLOOKUP($A25,데이터입력!$A:$L,10,FALSE),""),"")</f>
        <v/>
      </c>
      <c r="J25" s="612" t="s">
        <v>135</v>
      </c>
      <c r="K25" s="612" t="s">
        <v>135</v>
      </c>
      <c r="L25" s="612" t="s">
        <v>135</v>
      </c>
      <c r="M25" s="604"/>
      <c r="N25" s="180">
        <v>223</v>
      </c>
      <c r="O25" s="616" t="str">
        <f>IFERROR(IF(S25="06",데이터입력!$AB$8,IF(S25="07",데이터입력!$AD$8,IF(S25="05",데이터입력!$AF$8,데이터입력!$AB$8))),데이터입력!$AB$8)</f>
        <v>00</v>
      </c>
      <c r="P25" s="617" t="str">
        <f>데이터입력!$AC$9</f>
        <v>일반사업[일반]</v>
      </c>
      <c r="Q25" s="618" t="str">
        <f>IFERROR(IF(데이터입력!$AE$2="추경",VLOOKUP($N25,데이터입력!$A:$H,4,FALSE),""),"")</f>
        <v/>
      </c>
      <c r="R25" s="618" t="str">
        <f>IFERROR(IF(데이터입력!$AE$2="추경",VLOOKUP($N25,데이터입력!$A:$H,2,FALSE),""),"")</f>
        <v/>
      </c>
      <c r="S25" s="618" t="str">
        <f>IFERROR(IF(데이터입력!$AE$2="추경",VLOOKUP($N25,데이터입력!$A:$H,5,FALSE),""),"")</f>
        <v/>
      </c>
      <c r="T25" s="618" t="str">
        <f>IFERROR(IF(데이터입력!$AE$2="추경",VLOOKUP($N25,데이터입력!$A:$H,6,FALSE),""),"")</f>
        <v/>
      </c>
      <c r="U25" s="619" t="str">
        <f>IFERROR(IF(데이터입력!$AE$2="추경",VLOOKUP($N25,데이터입력!$A:$L,8,FALSE)+VLOOKUP($N25,데이터입력!$A:$L,9,FALSE)+VLOOKUP($N25,데이터입력!$A:$L,10,FALSE),""),"")</f>
        <v/>
      </c>
      <c r="V25" s="620" t="s">
        <v>135</v>
      </c>
      <c r="W25" s="620" t="s">
        <v>135</v>
      </c>
      <c r="X25" s="620" t="s">
        <v>135</v>
      </c>
      <c r="Y25" s="601"/>
      <c r="Z25" s="182" t="str">
        <f>데이터입력!$AB$8</f>
        <v>00</v>
      </c>
      <c r="AA25" s="185" t="str">
        <f>데이터입력!$AC$9</f>
        <v>일반사업[일반]</v>
      </c>
      <c r="AB25" s="183" t="str">
        <f>IFERROR(IF(데이터입력!$AE$2="추경",VLOOKUP($A25,#REF!,4,FALSE),""),"")</f>
        <v/>
      </c>
      <c r="AC25" s="183" t="str">
        <f>IFERROR(IF(데이터입력!$AE$2="추경",VLOOKUP($A25,#REF!,5,FALSE),""),"")</f>
        <v/>
      </c>
      <c r="AD25" s="183" t="str">
        <f>IFERROR(IF(데이터입력!$AE$2="추경",VLOOKUP($A25,#REF!,6,FALSE),""),"")</f>
        <v/>
      </c>
      <c r="AE25" s="183" t="str">
        <f>IFERROR(IF(데이터입력!$AE$2="추경",VLOOKUP($A25,#REF!,7,FALSE),""),"")</f>
        <v/>
      </c>
      <c r="AF25" s="183"/>
      <c r="AG25" s="184" t="str">
        <f>IFERROR(IF(데이터입력!$AE$2="추경",VLOOKUP($A25,#REF!,9,FALSE),""),"")</f>
        <v/>
      </c>
      <c r="AH25" s="184" t="str">
        <f>IFERROR(IF(데이터입력!$AE$2="추경",VLOOKUP($A25,#REF!,10,FALSE),""),"")</f>
        <v/>
      </c>
      <c r="AI25" s="184" t="str">
        <f>IFERROR(IF(데이터입력!$AE$2="추경",VLOOKUP($A25,#REF!,11,FALSE),""),"")</f>
        <v/>
      </c>
      <c r="AJ25" s="184" t="str">
        <f>IFERROR(IF(데이터입력!$AE$2="추경",VLOOKUP($A25,#REF!,12,FALSE),""),"")</f>
        <v/>
      </c>
      <c r="AK25" s="184" t="str">
        <f>IFERROR(IF(데이터입력!$AE$2="추경",VLOOKUP($A25,#REF!,13,FALSE),""),"")</f>
        <v/>
      </c>
    </row>
    <row r="26" spans="1:37">
      <c r="A26" s="180">
        <v>24</v>
      </c>
      <c r="B26" s="608" t="str">
        <f>IFERROR(IF(F26="06",데이터입력!$AB$8,IF(F26="07",데이터입력!$AD$8,IF(F26="05",데이터입력!$AF$8,데이터입력!$AB$8))),데이터입력!$AB$8)</f>
        <v>00</v>
      </c>
      <c r="C26" s="609" t="str">
        <f>데이터입력!$AC$9</f>
        <v>일반사업[일반]</v>
      </c>
      <c r="D26" s="610" t="str">
        <f>IFERROR(IF(AND(데이터입력!$AE$2="추경",데이터입력!$AM$2=TRUE),VLOOKUP($A26,데이터입력!$A:$H,4,FALSE),""),"")</f>
        <v/>
      </c>
      <c r="E26" s="610" t="str">
        <f>IFERROR(IF(AND(데이터입력!$AE$2="추경",데이터입력!$AM$2=TRUE),VLOOKUP($A26,데이터입력!$A:$H,2,FALSE),""),"")</f>
        <v/>
      </c>
      <c r="F26" s="610" t="str">
        <f>IFERROR(IF(AND(데이터입력!$AE$2="추경",데이터입력!$AM$2=TRUE),VLOOKUP($A26,데이터입력!$A:$H,5,FALSE),""),"")</f>
        <v/>
      </c>
      <c r="G26" s="610" t="str">
        <f>IFERROR(IF(AND(데이터입력!$AE$2="추경",데이터입력!$AM$2=TRUE),VLOOKUP($A26,데이터입력!$A:$H,6,FALSE),""),"")</f>
        <v/>
      </c>
      <c r="H26" s="611" t="str">
        <f>IFERROR(IF(AND(데이터입력!$AE$2="추경",데이터입력!$AM$2=TRUE),VLOOKUP($A26,데이터입력!$A:$L,7,FALSE),""),"")</f>
        <v/>
      </c>
      <c r="I26" s="611" t="str">
        <f>IFERROR(IF(AND(데이터입력!$AE$2="추경",데이터입력!$AM$2=TRUE),VLOOKUP($A26,데이터입력!$A:$L,8,FALSE)+VLOOKUP($A26,데이터입력!$A:$L,9,FALSE)+VLOOKUP($A26,데이터입력!$A:$L,10,FALSE),""),"")</f>
        <v/>
      </c>
      <c r="J26" s="612" t="s">
        <v>135</v>
      </c>
      <c r="K26" s="612" t="s">
        <v>135</v>
      </c>
      <c r="L26" s="612" t="s">
        <v>135</v>
      </c>
      <c r="M26" s="604"/>
      <c r="N26" s="180">
        <v>224</v>
      </c>
      <c r="O26" s="616" t="str">
        <f>IFERROR(IF(S26="06",데이터입력!$AB$8,IF(S26="07",데이터입력!$AD$8,IF(S26="05",데이터입력!$AF$8,데이터입력!$AB$8))),데이터입력!$AB$8)</f>
        <v>00</v>
      </c>
      <c r="P26" s="617" t="str">
        <f>데이터입력!$AC$9</f>
        <v>일반사업[일반]</v>
      </c>
      <c r="Q26" s="618" t="str">
        <f>IFERROR(IF(데이터입력!$AE$2="추경",VLOOKUP($N26,데이터입력!$A:$H,4,FALSE),""),"")</f>
        <v/>
      </c>
      <c r="R26" s="618" t="str">
        <f>IFERROR(IF(데이터입력!$AE$2="추경",VLOOKUP($N26,데이터입력!$A:$H,2,FALSE),""),"")</f>
        <v/>
      </c>
      <c r="S26" s="618" t="str">
        <f>IFERROR(IF(데이터입력!$AE$2="추경",VLOOKUP($N26,데이터입력!$A:$H,5,FALSE),""),"")</f>
        <v/>
      </c>
      <c r="T26" s="618" t="str">
        <f>IFERROR(IF(데이터입력!$AE$2="추경",VLOOKUP($N26,데이터입력!$A:$H,6,FALSE),""),"")</f>
        <v/>
      </c>
      <c r="U26" s="619" t="str">
        <f>IFERROR(IF(데이터입력!$AE$2="추경",VLOOKUP($N26,데이터입력!$A:$L,8,FALSE)+VLOOKUP($N26,데이터입력!$A:$L,9,FALSE)+VLOOKUP($N26,데이터입력!$A:$L,10,FALSE),""),"")</f>
        <v/>
      </c>
      <c r="V26" s="620" t="s">
        <v>135</v>
      </c>
      <c r="W26" s="620" t="s">
        <v>135</v>
      </c>
      <c r="X26" s="620" t="s">
        <v>135</v>
      </c>
      <c r="Y26" s="600"/>
      <c r="Z26" s="182" t="str">
        <f>데이터입력!$AB$8</f>
        <v>00</v>
      </c>
      <c r="AA26" s="185" t="str">
        <f>데이터입력!$AC$9</f>
        <v>일반사업[일반]</v>
      </c>
      <c r="AB26" s="183" t="str">
        <f>IFERROR(IF(데이터입력!$AE$2="추경",VLOOKUP($A26,#REF!,4,FALSE),""),"")</f>
        <v/>
      </c>
      <c r="AC26" s="183" t="str">
        <f>IFERROR(IF(데이터입력!$AE$2="추경",VLOOKUP($A26,#REF!,5,FALSE),""),"")</f>
        <v/>
      </c>
      <c r="AD26" s="183" t="str">
        <f>IFERROR(IF(데이터입력!$AE$2="추경",VLOOKUP($A26,#REF!,6,FALSE),""),"")</f>
        <v/>
      </c>
      <c r="AE26" s="183" t="str">
        <f>IFERROR(IF(데이터입력!$AE$2="추경",VLOOKUP($A26,#REF!,7,FALSE),""),"")</f>
        <v/>
      </c>
      <c r="AF26" s="183"/>
      <c r="AG26" s="184" t="str">
        <f>IFERROR(IF(데이터입력!$AE$2="추경",VLOOKUP($A26,#REF!,9,FALSE),""),"")</f>
        <v/>
      </c>
      <c r="AH26" s="184" t="str">
        <f>IFERROR(IF(데이터입력!$AE$2="추경",VLOOKUP($A26,#REF!,10,FALSE),""),"")</f>
        <v/>
      </c>
      <c r="AI26" s="184" t="str">
        <f>IFERROR(IF(데이터입력!$AE$2="추경",VLOOKUP($A26,#REF!,11,FALSE),""),"")</f>
        <v/>
      </c>
      <c r="AJ26" s="184" t="str">
        <f>IFERROR(IF(데이터입력!$AE$2="추경",VLOOKUP($A26,#REF!,12,FALSE),""),"")</f>
        <v/>
      </c>
      <c r="AK26" s="184" t="str">
        <f>IFERROR(IF(데이터입력!$AE$2="추경",VLOOKUP($A26,#REF!,13,FALSE),""),"")</f>
        <v/>
      </c>
    </row>
    <row r="27" spans="1:37">
      <c r="A27" s="180">
        <v>25</v>
      </c>
      <c r="B27" s="608" t="str">
        <f>IFERROR(IF(F27="06",데이터입력!$AB$8,IF(F27="07",데이터입력!$AD$8,IF(F27="05",데이터입력!$AF$8,데이터입력!$AB$8))),데이터입력!$AB$8)</f>
        <v>00</v>
      </c>
      <c r="C27" s="609" t="str">
        <f>데이터입력!$AC$9</f>
        <v>일반사업[일반]</v>
      </c>
      <c r="D27" s="610" t="str">
        <f>IFERROR(IF(AND(데이터입력!$AE$2="추경",데이터입력!$AM$2=TRUE),VLOOKUP($A27,데이터입력!$A:$H,4,FALSE),""),"")</f>
        <v/>
      </c>
      <c r="E27" s="610" t="str">
        <f>IFERROR(IF(AND(데이터입력!$AE$2="추경",데이터입력!$AM$2=TRUE),VLOOKUP($A27,데이터입력!$A:$H,2,FALSE),""),"")</f>
        <v/>
      </c>
      <c r="F27" s="610" t="str">
        <f>IFERROR(IF(AND(데이터입력!$AE$2="추경",데이터입력!$AM$2=TRUE),VLOOKUP($A27,데이터입력!$A:$H,5,FALSE),""),"")</f>
        <v/>
      </c>
      <c r="G27" s="610" t="str">
        <f>IFERROR(IF(AND(데이터입력!$AE$2="추경",데이터입력!$AM$2=TRUE),VLOOKUP($A27,데이터입력!$A:$H,6,FALSE),""),"")</f>
        <v/>
      </c>
      <c r="H27" s="611" t="str">
        <f>IFERROR(IF(AND(데이터입력!$AE$2="추경",데이터입력!$AM$2=TRUE),VLOOKUP($A27,데이터입력!$A:$L,7,FALSE),""),"")</f>
        <v/>
      </c>
      <c r="I27" s="611" t="str">
        <f>IFERROR(IF(AND(데이터입력!$AE$2="추경",데이터입력!$AM$2=TRUE),VLOOKUP($A27,데이터입력!$A:$L,8,FALSE)+VLOOKUP($A27,데이터입력!$A:$L,9,FALSE)+VLOOKUP($A27,데이터입력!$A:$L,10,FALSE),""),"")</f>
        <v/>
      </c>
      <c r="J27" s="612" t="s">
        <v>135</v>
      </c>
      <c r="K27" s="612" t="s">
        <v>135</v>
      </c>
      <c r="L27" s="612" t="s">
        <v>135</v>
      </c>
      <c r="M27" s="604"/>
      <c r="N27" s="180">
        <v>225</v>
      </c>
      <c r="O27" s="616" t="str">
        <f>IFERROR(IF(S27="06",데이터입력!$AB$8,IF(S27="07",데이터입력!$AD$8,IF(S27="05",데이터입력!$AF$8,데이터입력!$AB$8))),데이터입력!$AB$8)</f>
        <v>00</v>
      </c>
      <c r="P27" s="617" t="str">
        <f>데이터입력!$AC$9</f>
        <v>일반사업[일반]</v>
      </c>
      <c r="Q27" s="618" t="str">
        <f>IFERROR(IF(데이터입력!$AE$2="추경",VLOOKUP($N27,데이터입력!$A:$H,4,FALSE),""),"")</f>
        <v/>
      </c>
      <c r="R27" s="618" t="str">
        <f>IFERROR(IF(데이터입력!$AE$2="추경",VLOOKUP($N27,데이터입력!$A:$H,2,FALSE),""),"")</f>
        <v/>
      </c>
      <c r="S27" s="618" t="str">
        <f>IFERROR(IF(데이터입력!$AE$2="추경",VLOOKUP($N27,데이터입력!$A:$H,5,FALSE),""),"")</f>
        <v/>
      </c>
      <c r="T27" s="618" t="str">
        <f>IFERROR(IF(데이터입력!$AE$2="추경",VLOOKUP($N27,데이터입력!$A:$H,6,FALSE),""),"")</f>
        <v/>
      </c>
      <c r="U27" s="619" t="str">
        <f>IFERROR(IF(데이터입력!$AE$2="추경",VLOOKUP($N27,데이터입력!$A:$L,8,FALSE)+VLOOKUP($N27,데이터입력!$A:$L,9,FALSE)+VLOOKUP($N27,데이터입력!$A:$L,10,FALSE),""),"")</f>
        <v/>
      </c>
      <c r="V27" s="620" t="s">
        <v>135</v>
      </c>
      <c r="W27" s="620" t="s">
        <v>135</v>
      </c>
      <c r="X27" s="620" t="s">
        <v>135</v>
      </c>
      <c r="Y27" s="601"/>
      <c r="Z27" s="182" t="str">
        <f>데이터입력!$AB$8</f>
        <v>00</v>
      </c>
      <c r="AA27" s="185" t="str">
        <f>데이터입력!$AC$9</f>
        <v>일반사업[일반]</v>
      </c>
      <c r="AB27" s="183" t="str">
        <f>IFERROR(IF(데이터입력!$AE$2="추경",VLOOKUP($A27,#REF!,4,FALSE),""),"")</f>
        <v/>
      </c>
      <c r="AC27" s="183" t="str">
        <f>IFERROR(IF(데이터입력!$AE$2="추경",VLOOKUP($A27,#REF!,5,FALSE),""),"")</f>
        <v/>
      </c>
      <c r="AD27" s="183" t="str">
        <f>IFERROR(IF(데이터입력!$AE$2="추경",VLOOKUP($A27,#REF!,6,FALSE),""),"")</f>
        <v/>
      </c>
      <c r="AE27" s="183" t="str">
        <f>IFERROR(IF(데이터입력!$AE$2="추경",VLOOKUP($A27,#REF!,7,FALSE),""),"")</f>
        <v/>
      </c>
      <c r="AF27" s="183"/>
      <c r="AG27" s="184" t="str">
        <f>IFERROR(IF(데이터입력!$AE$2="추경",VLOOKUP($A27,#REF!,9,FALSE),""),"")</f>
        <v/>
      </c>
      <c r="AH27" s="184" t="str">
        <f>IFERROR(IF(데이터입력!$AE$2="추경",VLOOKUP($A27,#REF!,10,FALSE),""),"")</f>
        <v/>
      </c>
      <c r="AI27" s="184" t="str">
        <f>IFERROR(IF(데이터입력!$AE$2="추경",VLOOKUP($A27,#REF!,11,FALSE),""),"")</f>
        <v/>
      </c>
      <c r="AJ27" s="184" t="str">
        <f>IFERROR(IF(데이터입력!$AE$2="추경",VLOOKUP($A27,#REF!,12,FALSE),""),"")</f>
        <v/>
      </c>
      <c r="AK27" s="184" t="str">
        <f>IFERROR(IF(데이터입력!$AE$2="추경",VLOOKUP($A27,#REF!,13,FALSE),""),"")</f>
        <v/>
      </c>
    </row>
    <row r="28" spans="1:37">
      <c r="A28" s="180">
        <v>26</v>
      </c>
      <c r="B28" s="608" t="str">
        <f>IFERROR(IF(F28="06",데이터입력!$AB$8,IF(F28="07",데이터입력!$AD$8,IF(F28="05",데이터입력!$AF$8,데이터입력!$AB$8))),데이터입력!$AB$8)</f>
        <v>00</v>
      </c>
      <c r="C28" s="609" t="str">
        <f>데이터입력!$AC$9</f>
        <v>일반사업[일반]</v>
      </c>
      <c r="D28" s="610" t="str">
        <f>IFERROR(IF(AND(데이터입력!$AE$2="추경",데이터입력!$AM$2=TRUE),VLOOKUP($A28,데이터입력!$A:$H,4,FALSE),""),"")</f>
        <v/>
      </c>
      <c r="E28" s="610" t="str">
        <f>IFERROR(IF(AND(데이터입력!$AE$2="추경",데이터입력!$AM$2=TRUE),VLOOKUP($A28,데이터입력!$A:$H,2,FALSE),""),"")</f>
        <v/>
      </c>
      <c r="F28" s="610" t="str">
        <f>IFERROR(IF(AND(데이터입력!$AE$2="추경",데이터입력!$AM$2=TRUE),VLOOKUP($A28,데이터입력!$A:$H,5,FALSE),""),"")</f>
        <v/>
      </c>
      <c r="G28" s="610" t="str">
        <f>IFERROR(IF(AND(데이터입력!$AE$2="추경",데이터입력!$AM$2=TRUE),VLOOKUP($A28,데이터입력!$A:$H,6,FALSE),""),"")</f>
        <v/>
      </c>
      <c r="H28" s="611" t="str">
        <f>IFERROR(IF(AND(데이터입력!$AE$2="추경",데이터입력!$AM$2=TRUE),VLOOKUP($A28,데이터입력!$A:$L,7,FALSE),""),"")</f>
        <v/>
      </c>
      <c r="I28" s="611" t="str">
        <f>IFERROR(IF(AND(데이터입력!$AE$2="추경",데이터입력!$AM$2=TRUE),VLOOKUP($A28,데이터입력!$A:$L,8,FALSE)+VLOOKUP($A28,데이터입력!$A:$L,9,FALSE)+VLOOKUP($A28,데이터입력!$A:$L,10,FALSE),""),"")</f>
        <v/>
      </c>
      <c r="J28" s="612" t="s">
        <v>135</v>
      </c>
      <c r="K28" s="612" t="s">
        <v>135</v>
      </c>
      <c r="L28" s="612" t="s">
        <v>135</v>
      </c>
      <c r="M28" s="604"/>
      <c r="N28" s="180">
        <v>226</v>
      </c>
      <c r="O28" s="616" t="str">
        <f>IFERROR(IF(S28="06",데이터입력!$AB$8,IF(S28="07",데이터입력!$AD$8,IF(S28="05",데이터입력!$AF$8,데이터입력!$AB$8))),데이터입력!$AB$8)</f>
        <v>00</v>
      </c>
      <c r="P28" s="617" t="str">
        <f>데이터입력!$AC$9</f>
        <v>일반사업[일반]</v>
      </c>
      <c r="Q28" s="618" t="str">
        <f>IFERROR(IF(데이터입력!$AE$2="추경",VLOOKUP($N28,데이터입력!$A:$H,4,FALSE),""),"")</f>
        <v/>
      </c>
      <c r="R28" s="618" t="str">
        <f>IFERROR(IF(데이터입력!$AE$2="추경",VLOOKUP($N28,데이터입력!$A:$H,2,FALSE),""),"")</f>
        <v/>
      </c>
      <c r="S28" s="618" t="str">
        <f>IFERROR(IF(데이터입력!$AE$2="추경",VLOOKUP($N28,데이터입력!$A:$H,5,FALSE),""),"")</f>
        <v/>
      </c>
      <c r="T28" s="618" t="str">
        <f>IFERROR(IF(데이터입력!$AE$2="추경",VLOOKUP($N28,데이터입력!$A:$H,6,FALSE),""),"")</f>
        <v/>
      </c>
      <c r="U28" s="619" t="str">
        <f>IFERROR(IF(데이터입력!$AE$2="추경",VLOOKUP($N28,데이터입력!$A:$L,8,FALSE)+VLOOKUP($N28,데이터입력!$A:$L,9,FALSE)+VLOOKUP($N28,데이터입력!$A:$L,10,FALSE),""),"")</f>
        <v/>
      </c>
      <c r="V28" s="620" t="s">
        <v>135</v>
      </c>
      <c r="W28" s="620" t="s">
        <v>135</v>
      </c>
      <c r="X28" s="620" t="s">
        <v>135</v>
      </c>
      <c r="Y28" s="600"/>
      <c r="Z28" s="182" t="str">
        <f>데이터입력!$AB$8</f>
        <v>00</v>
      </c>
      <c r="AA28" s="185" t="str">
        <f>데이터입력!$AC$9</f>
        <v>일반사업[일반]</v>
      </c>
      <c r="AB28" s="183" t="str">
        <f>IFERROR(IF(데이터입력!$AE$2="추경",VLOOKUP($A28,#REF!,4,FALSE),""),"")</f>
        <v/>
      </c>
      <c r="AC28" s="183" t="str">
        <f>IFERROR(IF(데이터입력!$AE$2="추경",VLOOKUP($A28,#REF!,5,FALSE),""),"")</f>
        <v/>
      </c>
      <c r="AD28" s="183" t="str">
        <f>IFERROR(IF(데이터입력!$AE$2="추경",VLOOKUP($A28,#REF!,6,FALSE),""),"")</f>
        <v/>
      </c>
      <c r="AE28" s="183" t="str">
        <f>IFERROR(IF(데이터입력!$AE$2="추경",VLOOKUP($A28,#REF!,7,FALSE),""),"")</f>
        <v/>
      </c>
      <c r="AF28" s="183"/>
      <c r="AG28" s="184" t="str">
        <f>IFERROR(IF(데이터입력!$AE$2="추경",VLOOKUP($A28,#REF!,9,FALSE),""),"")</f>
        <v/>
      </c>
      <c r="AH28" s="184" t="str">
        <f>IFERROR(IF(데이터입력!$AE$2="추경",VLOOKUP($A28,#REF!,10,FALSE),""),"")</f>
        <v/>
      </c>
      <c r="AI28" s="184" t="str">
        <f>IFERROR(IF(데이터입력!$AE$2="추경",VLOOKUP($A28,#REF!,11,FALSE),""),"")</f>
        <v/>
      </c>
      <c r="AJ28" s="184" t="str">
        <f>IFERROR(IF(데이터입력!$AE$2="추경",VLOOKUP($A28,#REF!,12,FALSE),""),"")</f>
        <v/>
      </c>
      <c r="AK28" s="184" t="str">
        <f>IFERROR(IF(데이터입력!$AE$2="추경",VLOOKUP($A28,#REF!,13,FALSE),""),"")</f>
        <v/>
      </c>
    </row>
    <row r="29" spans="1:37">
      <c r="A29" s="180">
        <v>27</v>
      </c>
      <c r="B29" s="608" t="str">
        <f>IFERROR(IF(F29="06",데이터입력!$AB$8,IF(F29="07",데이터입력!$AD$8,IF(F29="05",데이터입력!$AF$8,데이터입력!$AB$8))),데이터입력!$AB$8)</f>
        <v>00</v>
      </c>
      <c r="C29" s="609" t="str">
        <f>데이터입력!$AC$9</f>
        <v>일반사업[일반]</v>
      </c>
      <c r="D29" s="610" t="str">
        <f>IFERROR(IF(AND(데이터입력!$AE$2="추경",데이터입력!$AM$2=TRUE),VLOOKUP($A29,데이터입력!$A:$H,4,FALSE),""),"")</f>
        <v/>
      </c>
      <c r="E29" s="610" t="str">
        <f>IFERROR(IF(AND(데이터입력!$AE$2="추경",데이터입력!$AM$2=TRUE),VLOOKUP($A29,데이터입력!$A:$H,2,FALSE),""),"")</f>
        <v/>
      </c>
      <c r="F29" s="610" t="str">
        <f>IFERROR(IF(AND(데이터입력!$AE$2="추경",데이터입력!$AM$2=TRUE),VLOOKUP($A29,데이터입력!$A:$H,5,FALSE),""),"")</f>
        <v/>
      </c>
      <c r="G29" s="610" t="str">
        <f>IFERROR(IF(AND(데이터입력!$AE$2="추경",데이터입력!$AM$2=TRUE),VLOOKUP($A29,데이터입력!$A:$H,6,FALSE),""),"")</f>
        <v/>
      </c>
      <c r="H29" s="611" t="str">
        <f>IFERROR(IF(AND(데이터입력!$AE$2="추경",데이터입력!$AM$2=TRUE),VLOOKUP($A29,데이터입력!$A:$L,7,FALSE),""),"")</f>
        <v/>
      </c>
      <c r="I29" s="611" t="str">
        <f>IFERROR(IF(AND(데이터입력!$AE$2="추경",데이터입력!$AM$2=TRUE),VLOOKUP($A29,데이터입력!$A:$L,8,FALSE)+VLOOKUP($A29,데이터입력!$A:$L,9,FALSE)+VLOOKUP($A29,데이터입력!$A:$L,10,FALSE),""),"")</f>
        <v/>
      </c>
      <c r="J29" s="612" t="s">
        <v>135</v>
      </c>
      <c r="K29" s="612" t="s">
        <v>135</v>
      </c>
      <c r="L29" s="612" t="s">
        <v>135</v>
      </c>
      <c r="M29" s="604"/>
      <c r="N29" s="180">
        <v>227</v>
      </c>
      <c r="O29" s="616" t="str">
        <f>IFERROR(IF(S29="06",데이터입력!$AB$8,IF(S29="07",데이터입력!$AD$8,IF(S29="05",데이터입력!$AF$8,데이터입력!$AB$8))),데이터입력!$AB$8)</f>
        <v>00</v>
      </c>
      <c r="P29" s="617" t="str">
        <f>데이터입력!$AC$9</f>
        <v>일반사업[일반]</v>
      </c>
      <c r="Q29" s="618" t="str">
        <f>IFERROR(IF(데이터입력!$AE$2="추경",VLOOKUP($N29,데이터입력!$A:$H,4,FALSE),""),"")</f>
        <v/>
      </c>
      <c r="R29" s="618" t="str">
        <f>IFERROR(IF(데이터입력!$AE$2="추경",VLOOKUP($N29,데이터입력!$A:$H,2,FALSE),""),"")</f>
        <v/>
      </c>
      <c r="S29" s="618" t="str">
        <f>IFERROR(IF(데이터입력!$AE$2="추경",VLOOKUP($N29,데이터입력!$A:$H,5,FALSE),""),"")</f>
        <v/>
      </c>
      <c r="T29" s="618" t="str">
        <f>IFERROR(IF(데이터입력!$AE$2="추경",VLOOKUP($N29,데이터입력!$A:$H,6,FALSE),""),"")</f>
        <v/>
      </c>
      <c r="U29" s="619" t="str">
        <f>IFERROR(IF(데이터입력!$AE$2="추경",VLOOKUP($N29,데이터입력!$A:$L,8,FALSE)+VLOOKUP($N29,데이터입력!$A:$L,9,FALSE)+VLOOKUP($N29,데이터입력!$A:$L,10,FALSE),""),"")</f>
        <v/>
      </c>
      <c r="V29" s="620" t="s">
        <v>135</v>
      </c>
      <c r="W29" s="620" t="s">
        <v>135</v>
      </c>
      <c r="X29" s="620" t="s">
        <v>135</v>
      </c>
      <c r="Y29" s="601"/>
      <c r="Z29" s="182" t="str">
        <f>데이터입력!$AB$8</f>
        <v>00</v>
      </c>
      <c r="AA29" s="185" t="str">
        <f>데이터입력!$AC$9</f>
        <v>일반사업[일반]</v>
      </c>
      <c r="AB29" s="183" t="str">
        <f>IFERROR(IF(데이터입력!$AE$2="추경",VLOOKUP($A29,#REF!,4,FALSE),""),"")</f>
        <v/>
      </c>
      <c r="AC29" s="183" t="str">
        <f>IFERROR(IF(데이터입력!$AE$2="추경",VLOOKUP($A29,#REF!,5,FALSE),""),"")</f>
        <v/>
      </c>
      <c r="AD29" s="183" t="str">
        <f>IFERROR(IF(데이터입력!$AE$2="추경",VLOOKUP($A29,#REF!,6,FALSE),""),"")</f>
        <v/>
      </c>
      <c r="AE29" s="183" t="str">
        <f>IFERROR(IF(데이터입력!$AE$2="추경",VLOOKUP($A29,#REF!,7,FALSE),""),"")</f>
        <v/>
      </c>
      <c r="AF29" s="183"/>
      <c r="AG29" s="184" t="str">
        <f>IFERROR(IF(데이터입력!$AE$2="추경",VLOOKUP($A29,#REF!,9,FALSE),""),"")</f>
        <v/>
      </c>
      <c r="AH29" s="184" t="str">
        <f>IFERROR(IF(데이터입력!$AE$2="추경",VLOOKUP($A29,#REF!,10,FALSE),""),"")</f>
        <v/>
      </c>
      <c r="AI29" s="184" t="str">
        <f>IFERROR(IF(데이터입력!$AE$2="추경",VLOOKUP($A29,#REF!,11,FALSE),""),"")</f>
        <v/>
      </c>
      <c r="AJ29" s="184" t="str">
        <f>IFERROR(IF(데이터입력!$AE$2="추경",VLOOKUP($A29,#REF!,12,FALSE),""),"")</f>
        <v/>
      </c>
      <c r="AK29" s="184" t="str">
        <f>IFERROR(IF(데이터입력!$AE$2="추경",VLOOKUP($A29,#REF!,13,FALSE),""),"")</f>
        <v/>
      </c>
    </row>
    <row r="30" spans="1:37">
      <c r="A30" s="180">
        <v>28</v>
      </c>
      <c r="B30" s="608" t="str">
        <f>IFERROR(IF(F30="06",데이터입력!$AB$8,IF(F30="07",데이터입력!$AD$8,IF(F30="05",데이터입력!$AF$8,데이터입력!$AB$8))),데이터입력!$AB$8)</f>
        <v>00</v>
      </c>
      <c r="C30" s="609" t="str">
        <f>데이터입력!$AC$9</f>
        <v>일반사업[일반]</v>
      </c>
      <c r="D30" s="610" t="str">
        <f>IFERROR(IF(AND(데이터입력!$AE$2="추경",데이터입력!$AM$2=TRUE),VLOOKUP($A30,데이터입력!$A:$H,4,FALSE),""),"")</f>
        <v/>
      </c>
      <c r="E30" s="610" t="str">
        <f>IFERROR(IF(AND(데이터입력!$AE$2="추경",데이터입력!$AM$2=TRUE),VLOOKUP($A30,데이터입력!$A:$H,2,FALSE),""),"")</f>
        <v/>
      </c>
      <c r="F30" s="610" t="str">
        <f>IFERROR(IF(AND(데이터입력!$AE$2="추경",데이터입력!$AM$2=TRUE),VLOOKUP($A30,데이터입력!$A:$H,5,FALSE),""),"")</f>
        <v/>
      </c>
      <c r="G30" s="610" t="str">
        <f>IFERROR(IF(AND(데이터입력!$AE$2="추경",데이터입력!$AM$2=TRUE),VLOOKUP($A30,데이터입력!$A:$H,6,FALSE),""),"")</f>
        <v/>
      </c>
      <c r="H30" s="611" t="str">
        <f>IFERROR(IF(AND(데이터입력!$AE$2="추경",데이터입력!$AM$2=TRUE),VLOOKUP($A30,데이터입력!$A:$L,7,FALSE),""),"")</f>
        <v/>
      </c>
      <c r="I30" s="611" t="str">
        <f>IFERROR(IF(AND(데이터입력!$AE$2="추경",데이터입력!$AM$2=TRUE),VLOOKUP($A30,데이터입력!$A:$L,8,FALSE)+VLOOKUP($A30,데이터입력!$A:$L,9,FALSE)+VLOOKUP($A30,데이터입력!$A:$L,10,FALSE),""),"")</f>
        <v/>
      </c>
      <c r="J30" s="612" t="s">
        <v>135</v>
      </c>
      <c r="K30" s="612" t="s">
        <v>135</v>
      </c>
      <c r="L30" s="612" t="s">
        <v>135</v>
      </c>
      <c r="M30" s="604"/>
      <c r="N30" s="180">
        <v>228</v>
      </c>
      <c r="O30" s="616" t="str">
        <f>IFERROR(IF(S30="06",데이터입력!$AB$8,IF(S30="07",데이터입력!$AD$8,IF(S30="05",데이터입력!$AF$8,데이터입력!$AB$8))),데이터입력!$AB$8)</f>
        <v>00</v>
      </c>
      <c r="P30" s="617" t="str">
        <f>데이터입력!$AC$9</f>
        <v>일반사업[일반]</v>
      </c>
      <c r="Q30" s="618" t="str">
        <f>IFERROR(IF(데이터입력!$AE$2="추경",VLOOKUP($N30,데이터입력!$A:$H,4,FALSE),""),"")</f>
        <v/>
      </c>
      <c r="R30" s="618" t="str">
        <f>IFERROR(IF(데이터입력!$AE$2="추경",VLOOKUP($N30,데이터입력!$A:$H,2,FALSE),""),"")</f>
        <v/>
      </c>
      <c r="S30" s="618" t="str">
        <f>IFERROR(IF(데이터입력!$AE$2="추경",VLOOKUP($N30,데이터입력!$A:$H,5,FALSE),""),"")</f>
        <v/>
      </c>
      <c r="T30" s="618" t="str">
        <f>IFERROR(IF(데이터입력!$AE$2="추경",VLOOKUP($N30,데이터입력!$A:$H,6,FALSE),""),"")</f>
        <v/>
      </c>
      <c r="U30" s="619" t="str">
        <f>IFERROR(IF(데이터입력!$AE$2="추경",VLOOKUP($N30,데이터입력!$A:$L,8,FALSE)+VLOOKUP($N30,데이터입력!$A:$L,9,FALSE)+VLOOKUP($N30,데이터입력!$A:$L,10,FALSE),""),"")</f>
        <v/>
      </c>
      <c r="V30" s="620" t="s">
        <v>135</v>
      </c>
      <c r="W30" s="620" t="s">
        <v>135</v>
      </c>
      <c r="X30" s="620" t="s">
        <v>135</v>
      </c>
      <c r="Y30" s="600"/>
      <c r="Z30" s="182" t="str">
        <f>데이터입력!$AB$8</f>
        <v>00</v>
      </c>
      <c r="AA30" s="185" t="str">
        <f>데이터입력!$AC$9</f>
        <v>일반사업[일반]</v>
      </c>
      <c r="AB30" s="183" t="str">
        <f>IFERROR(IF(데이터입력!$AE$2="추경",VLOOKUP($A30,#REF!,4,FALSE),""),"")</f>
        <v/>
      </c>
      <c r="AC30" s="183" t="str">
        <f>IFERROR(IF(데이터입력!$AE$2="추경",VLOOKUP($A30,#REF!,5,FALSE),""),"")</f>
        <v/>
      </c>
      <c r="AD30" s="183" t="str">
        <f>IFERROR(IF(데이터입력!$AE$2="추경",VLOOKUP($A30,#REF!,6,FALSE),""),"")</f>
        <v/>
      </c>
      <c r="AE30" s="183" t="str">
        <f>IFERROR(IF(데이터입력!$AE$2="추경",VLOOKUP($A30,#REF!,7,FALSE),""),"")</f>
        <v/>
      </c>
      <c r="AF30" s="183"/>
      <c r="AG30" s="184" t="str">
        <f>IFERROR(IF(데이터입력!$AE$2="추경",VLOOKUP($A30,#REF!,9,FALSE),""),"")</f>
        <v/>
      </c>
      <c r="AH30" s="184" t="str">
        <f>IFERROR(IF(데이터입력!$AE$2="추경",VLOOKUP($A30,#REF!,10,FALSE),""),"")</f>
        <v/>
      </c>
      <c r="AI30" s="184" t="str">
        <f>IFERROR(IF(데이터입력!$AE$2="추경",VLOOKUP($A30,#REF!,11,FALSE),""),"")</f>
        <v/>
      </c>
      <c r="AJ30" s="184" t="str">
        <f>IFERROR(IF(데이터입력!$AE$2="추경",VLOOKUP($A30,#REF!,12,FALSE),""),"")</f>
        <v/>
      </c>
      <c r="AK30" s="184" t="str">
        <f>IFERROR(IF(데이터입력!$AE$2="추경",VLOOKUP($A30,#REF!,13,FALSE),""),"")</f>
        <v/>
      </c>
    </row>
    <row r="31" spans="1:37">
      <c r="A31" s="180">
        <v>29</v>
      </c>
      <c r="B31" s="608" t="str">
        <f>IFERROR(IF(F31="06",데이터입력!$AB$8,IF(F31="07",데이터입력!$AD$8,IF(F31="05",데이터입력!$AF$8,데이터입력!$AB$8))),데이터입력!$AB$8)</f>
        <v>00</v>
      </c>
      <c r="C31" s="609" t="str">
        <f>데이터입력!$AC$9</f>
        <v>일반사업[일반]</v>
      </c>
      <c r="D31" s="610" t="str">
        <f>IFERROR(IF(AND(데이터입력!$AE$2="추경",데이터입력!$AM$2=TRUE),VLOOKUP($A31,데이터입력!$A:$H,4,FALSE),""),"")</f>
        <v/>
      </c>
      <c r="E31" s="610" t="str">
        <f>IFERROR(IF(AND(데이터입력!$AE$2="추경",데이터입력!$AM$2=TRUE),VLOOKUP($A31,데이터입력!$A:$H,2,FALSE),""),"")</f>
        <v/>
      </c>
      <c r="F31" s="610" t="str">
        <f>IFERROR(IF(AND(데이터입력!$AE$2="추경",데이터입력!$AM$2=TRUE),VLOOKUP($A31,데이터입력!$A:$H,5,FALSE),""),"")</f>
        <v/>
      </c>
      <c r="G31" s="610" t="str">
        <f>IFERROR(IF(AND(데이터입력!$AE$2="추경",데이터입력!$AM$2=TRUE),VLOOKUP($A31,데이터입력!$A:$H,6,FALSE),""),"")</f>
        <v/>
      </c>
      <c r="H31" s="611" t="str">
        <f>IFERROR(IF(AND(데이터입력!$AE$2="추경",데이터입력!$AM$2=TRUE),VLOOKUP($A31,데이터입력!$A:$L,7,FALSE),""),"")</f>
        <v/>
      </c>
      <c r="I31" s="611" t="str">
        <f>IFERROR(IF(AND(데이터입력!$AE$2="추경",데이터입력!$AM$2=TRUE),VLOOKUP($A31,데이터입력!$A:$L,8,FALSE)+VLOOKUP($A31,데이터입력!$A:$L,9,FALSE)+VLOOKUP($A31,데이터입력!$A:$L,10,FALSE),""),"")</f>
        <v/>
      </c>
      <c r="J31" s="612" t="s">
        <v>135</v>
      </c>
      <c r="K31" s="612" t="s">
        <v>135</v>
      </c>
      <c r="L31" s="612" t="s">
        <v>135</v>
      </c>
      <c r="M31" s="604"/>
      <c r="N31" s="180">
        <v>229</v>
      </c>
      <c r="O31" s="616" t="str">
        <f>IFERROR(IF(S31="06",데이터입력!$AB$8,IF(S31="07",데이터입력!$AD$8,IF(S31="05",데이터입력!$AF$8,데이터입력!$AB$8))),데이터입력!$AB$8)</f>
        <v>00</v>
      </c>
      <c r="P31" s="617" t="str">
        <f>데이터입력!$AC$9</f>
        <v>일반사업[일반]</v>
      </c>
      <c r="Q31" s="618" t="str">
        <f>IFERROR(IF(데이터입력!$AE$2="추경",VLOOKUP($N31,데이터입력!$A:$H,4,FALSE),""),"")</f>
        <v/>
      </c>
      <c r="R31" s="618" t="str">
        <f>IFERROR(IF(데이터입력!$AE$2="추경",VLOOKUP($N31,데이터입력!$A:$H,2,FALSE),""),"")</f>
        <v/>
      </c>
      <c r="S31" s="618" t="str">
        <f>IFERROR(IF(데이터입력!$AE$2="추경",VLOOKUP($N31,데이터입력!$A:$H,5,FALSE),""),"")</f>
        <v/>
      </c>
      <c r="T31" s="618" t="str">
        <f>IFERROR(IF(데이터입력!$AE$2="추경",VLOOKUP($N31,데이터입력!$A:$H,6,FALSE),""),"")</f>
        <v/>
      </c>
      <c r="U31" s="619" t="str">
        <f>IFERROR(IF(데이터입력!$AE$2="추경",VLOOKUP($N31,데이터입력!$A:$L,8,FALSE)+VLOOKUP($N31,데이터입력!$A:$L,9,FALSE)+VLOOKUP($N31,데이터입력!$A:$L,10,FALSE),""),"")</f>
        <v/>
      </c>
      <c r="V31" s="620" t="s">
        <v>135</v>
      </c>
      <c r="W31" s="620" t="s">
        <v>135</v>
      </c>
      <c r="X31" s="620" t="s">
        <v>135</v>
      </c>
      <c r="Y31" s="601"/>
      <c r="Z31" s="182" t="str">
        <f>데이터입력!$AB$8</f>
        <v>00</v>
      </c>
      <c r="AA31" s="185" t="str">
        <f>데이터입력!$AC$9</f>
        <v>일반사업[일반]</v>
      </c>
      <c r="AB31" s="183" t="str">
        <f>IFERROR(IF(데이터입력!$AE$2="추경",VLOOKUP($A31,#REF!,4,FALSE),""),"")</f>
        <v/>
      </c>
      <c r="AC31" s="183" t="str">
        <f>IFERROR(IF(데이터입력!$AE$2="추경",VLOOKUP($A31,#REF!,5,FALSE),""),"")</f>
        <v/>
      </c>
      <c r="AD31" s="183" t="str">
        <f>IFERROR(IF(데이터입력!$AE$2="추경",VLOOKUP($A31,#REF!,6,FALSE),""),"")</f>
        <v/>
      </c>
      <c r="AE31" s="183" t="str">
        <f>IFERROR(IF(데이터입력!$AE$2="추경",VLOOKUP($A31,#REF!,7,FALSE),""),"")</f>
        <v/>
      </c>
      <c r="AF31" s="183"/>
      <c r="AG31" s="184" t="str">
        <f>IFERROR(IF(데이터입력!$AE$2="추경",VLOOKUP($A31,#REF!,9,FALSE),""),"")</f>
        <v/>
      </c>
      <c r="AH31" s="184" t="str">
        <f>IFERROR(IF(데이터입력!$AE$2="추경",VLOOKUP($A31,#REF!,10,FALSE),""),"")</f>
        <v/>
      </c>
      <c r="AI31" s="184" t="str">
        <f>IFERROR(IF(데이터입력!$AE$2="추경",VLOOKUP($A31,#REF!,11,FALSE),""),"")</f>
        <v/>
      </c>
      <c r="AJ31" s="184" t="str">
        <f>IFERROR(IF(데이터입력!$AE$2="추경",VLOOKUP($A31,#REF!,12,FALSE),""),"")</f>
        <v/>
      </c>
      <c r="AK31" s="184" t="str">
        <f>IFERROR(IF(데이터입력!$AE$2="추경",VLOOKUP($A31,#REF!,13,FALSE),""),"")</f>
        <v/>
      </c>
    </row>
    <row r="32" spans="1:37">
      <c r="A32" s="180">
        <v>30</v>
      </c>
      <c r="B32" s="608" t="str">
        <f>IFERROR(IF(F32="06",데이터입력!$AB$8,IF(F32="07",데이터입력!$AD$8,IF(F32="05",데이터입력!$AF$8,데이터입력!$AB$8))),데이터입력!$AB$8)</f>
        <v>00</v>
      </c>
      <c r="C32" s="609" t="str">
        <f>데이터입력!$AC$9</f>
        <v>일반사업[일반]</v>
      </c>
      <c r="D32" s="610" t="str">
        <f>IFERROR(IF(AND(데이터입력!$AE$2="추경",데이터입력!$AM$2=TRUE),VLOOKUP($A32,데이터입력!$A:$H,4,FALSE),""),"")</f>
        <v/>
      </c>
      <c r="E32" s="610" t="str">
        <f>IFERROR(IF(AND(데이터입력!$AE$2="추경",데이터입력!$AM$2=TRUE),VLOOKUP($A32,데이터입력!$A:$H,2,FALSE),""),"")</f>
        <v/>
      </c>
      <c r="F32" s="610" t="str">
        <f>IFERROR(IF(AND(데이터입력!$AE$2="추경",데이터입력!$AM$2=TRUE),VLOOKUP($A32,데이터입력!$A:$H,5,FALSE),""),"")</f>
        <v/>
      </c>
      <c r="G32" s="610" t="str">
        <f>IFERROR(IF(AND(데이터입력!$AE$2="추경",데이터입력!$AM$2=TRUE),VLOOKUP($A32,데이터입력!$A:$H,6,FALSE),""),"")</f>
        <v/>
      </c>
      <c r="H32" s="611" t="str">
        <f>IFERROR(IF(AND(데이터입력!$AE$2="추경",데이터입력!$AM$2=TRUE),VLOOKUP($A32,데이터입력!$A:$L,7,FALSE),""),"")</f>
        <v/>
      </c>
      <c r="I32" s="611" t="str">
        <f>IFERROR(IF(AND(데이터입력!$AE$2="추경",데이터입력!$AM$2=TRUE),VLOOKUP($A32,데이터입력!$A:$L,8,FALSE)+VLOOKUP($A32,데이터입력!$A:$L,9,FALSE)+VLOOKUP($A32,데이터입력!$A:$L,10,FALSE),""),"")</f>
        <v/>
      </c>
      <c r="J32" s="612" t="s">
        <v>135</v>
      </c>
      <c r="K32" s="612" t="s">
        <v>135</v>
      </c>
      <c r="L32" s="612" t="s">
        <v>135</v>
      </c>
      <c r="M32" s="604"/>
      <c r="N32" s="180">
        <v>230</v>
      </c>
      <c r="O32" s="616" t="str">
        <f>IFERROR(IF(S32="06",데이터입력!$AB$8,IF(S32="07",데이터입력!$AD$8,IF(S32="05",데이터입력!$AF$8,데이터입력!$AB$8))),데이터입력!$AB$8)</f>
        <v>00</v>
      </c>
      <c r="P32" s="617" t="str">
        <f>데이터입력!$AC$9</f>
        <v>일반사업[일반]</v>
      </c>
      <c r="Q32" s="618" t="str">
        <f>IFERROR(IF(데이터입력!$AE$2="추경",VLOOKUP($N32,데이터입력!$A:$H,4,FALSE),""),"")</f>
        <v/>
      </c>
      <c r="R32" s="618" t="str">
        <f>IFERROR(IF(데이터입력!$AE$2="추경",VLOOKUP($N32,데이터입력!$A:$H,2,FALSE),""),"")</f>
        <v/>
      </c>
      <c r="S32" s="618" t="str">
        <f>IFERROR(IF(데이터입력!$AE$2="추경",VLOOKUP($N32,데이터입력!$A:$H,5,FALSE),""),"")</f>
        <v/>
      </c>
      <c r="T32" s="618" t="str">
        <f>IFERROR(IF(데이터입력!$AE$2="추경",VLOOKUP($N32,데이터입력!$A:$H,6,FALSE),""),"")</f>
        <v/>
      </c>
      <c r="U32" s="619" t="str">
        <f>IFERROR(IF(데이터입력!$AE$2="추경",VLOOKUP($N32,데이터입력!$A:$L,8,FALSE)+VLOOKUP($N32,데이터입력!$A:$L,9,FALSE)+VLOOKUP($N32,데이터입력!$A:$L,10,FALSE),""),"")</f>
        <v/>
      </c>
      <c r="V32" s="620" t="s">
        <v>135</v>
      </c>
      <c r="W32" s="620" t="s">
        <v>135</v>
      </c>
      <c r="X32" s="620" t="s">
        <v>135</v>
      </c>
      <c r="Y32" s="600"/>
      <c r="Z32" s="182" t="str">
        <f>데이터입력!$AB$8</f>
        <v>00</v>
      </c>
      <c r="AA32" s="185" t="str">
        <f>데이터입력!$AC$9</f>
        <v>일반사업[일반]</v>
      </c>
      <c r="AB32" s="183" t="str">
        <f>IFERROR(IF(데이터입력!$AE$2="추경",VLOOKUP($A32,#REF!,4,FALSE),""),"")</f>
        <v/>
      </c>
      <c r="AC32" s="183" t="str">
        <f>IFERROR(IF(데이터입력!$AE$2="추경",VLOOKUP($A32,#REF!,5,FALSE),""),"")</f>
        <v/>
      </c>
      <c r="AD32" s="183" t="str">
        <f>IFERROR(IF(데이터입력!$AE$2="추경",VLOOKUP($A32,#REF!,6,FALSE),""),"")</f>
        <v/>
      </c>
      <c r="AE32" s="183" t="str">
        <f>IFERROR(IF(데이터입력!$AE$2="추경",VLOOKUP($A32,#REF!,7,FALSE),""),"")</f>
        <v/>
      </c>
      <c r="AF32" s="183"/>
      <c r="AG32" s="184" t="str">
        <f>IFERROR(IF(데이터입력!$AE$2="추경",VLOOKUP($A32,#REF!,9,FALSE),""),"")</f>
        <v/>
      </c>
      <c r="AH32" s="184" t="str">
        <f>IFERROR(IF(데이터입력!$AE$2="추경",VLOOKUP($A32,#REF!,10,FALSE),""),"")</f>
        <v/>
      </c>
      <c r="AI32" s="184" t="str">
        <f>IFERROR(IF(데이터입력!$AE$2="추경",VLOOKUP($A32,#REF!,11,FALSE),""),"")</f>
        <v/>
      </c>
      <c r="AJ32" s="184" t="str">
        <f>IFERROR(IF(데이터입력!$AE$2="추경",VLOOKUP($A32,#REF!,12,FALSE),""),"")</f>
        <v/>
      </c>
      <c r="AK32" s="184" t="str">
        <f>IFERROR(IF(데이터입력!$AE$2="추경",VLOOKUP($A32,#REF!,13,FALSE),""),"")</f>
        <v/>
      </c>
    </row>
    <row r="33" spans="1:37">
      <c r="A33" s="180">
        <v>31</v>
      </c>
      <c r="B33" s="608" t="str">
        <f>IFERROR(IF(F33="06",데이터입력!$AB$8,IF(F33="07",데이터입력!$AD$8,IF(F33="05",데이터입력!$AF$8,데이터입력!$AB$8))),데이터입력!$AB$8)</f>
        <v>00</v>
      </c>
      <c r="C33" s="609" t="str">
        <f>데이터입력!$AC$9</f>
        <v>일반사업[일반]</v>
      </c>
      <c r="D33" s="610" t="str">
        <f>IFERROR(IF(AND(데이터입력!$AE$2="추경",데이터입력!$AM$2=TRUE),VLOOKUP($A33,데이터입력!$A:$H,4,FALSE),""),"")</f>
        <v/>
      </c>
      <c r="E33" s="610" t="str">
        <f>IFERROR(IF(AND(데이터입력!$AE$2="추경",데이터입력!$AM$2=TRUE),VLOOKUP($A33,데이터입력!$A:$H,2,FALSE),""),"")</f>
        <v/>
      </c>
      <c r="F33" s="610" t="str">
        <f>IFERROR(IF(AND(데이터입력!$AE$2="추경",데이터입력!$AM$2=TRUE),VLOOKUP($A33,데이터입력!$A:$H,5,FALSE),""),"")</f>
        <v/>
      </c>
      <c r="G33" s="610" t="str">
        <f>IFERROR(IF(AND(데이터입력!$AE$2="추경",데이터입력!$AM$2=TRUE),VLOOKUP($A33,데이터입력!$A:$H,6,FALSE),""),"")</f>
        <v/>
      </c>
      <c r="H33" s="611" t="str">
        <f>IFERROR(IF(AND(데이터입력!$AE$2="추경",데이터입력!$AM$2=TRUE),VLOOKUP($A33,데이터입력!$A:$L,7,FALSE),""),"")</f>
        <v/>
      </c>
      <c r="I33" s="611" t="str">
        <f>IFERROR(IF(AND(데이터입력!$AE$2="추경",데이터입력!$AM$2=TRUE),VLOOKUP($A33,데이터입력!$A:$L,8,FALSE)+VLOOKUP($A33,데이터입력!$A:$L,9,FALSE)+VLOOKUP($A33,데이터입력!$A:$L,10,FALSE),""),"")</f>
        <v/>
      </c>
      <c r="J33" s="612" t="s">
        <v>135</v>
      </c>
      <c r="K33" s="612" t="s">
        <v>135</v>
      </c>
      <c r="L33" s="612" t="s">
        <v>135</v>
      </c>
      <c r="M33" s="604"/>
      <c r="N33" s="180">
        <v>231</v>
      </c>
      <c r="O33" s="616" t="str">
        <f>IFERROR(IF(S33="06",데이터입력!$AB$8,IF(S33="07",데이터입력!$AD$8,IF(S33="05",데이터입력!$AF$8,데이터입력!$AB$8))),데이터입력!$AB$8)</f>
        <v>00</v>
      </c>
      <c r="P33" s="617" t="str">
        <f>데이터입력!$AC$9</f>
        <v>일반사업[일반]</v>
      </c>
      <c r="Q33" s="618" t="str">
        <f>IFERROR(IF(데이터입력!$AE$2="추경",VLOOKUP($N33,데이터입력!$A:$H,4,FALSE),""),"")</f>
        <v/>
      </c>
      <c r="R33" s="618" t="str">
        <f>IFERROR(IF(데이터입력!$AE$2="추경",VLOOKUP($N33,데이터입력!$A:$H,2,FALSE),""),"")</f>
        <v/>
      </c>
      <c r="S33" s="618" t="str">
        <f>IFERROR(IF(데이터입력!$AE$2="추경",VLOOKUP($N33,데이터입력!$A:$H,5,FALSE),""),"")</f>
        <v/>
      </c>
      <c r="T33" s="618" t="str">
        <f>IFERROR(IF(데이터입력!$AE$2="추경",VLOOKUP($N33,데이터입력!$A:$H,6,FALSE),""),"")</f>
        <v/>
      </c>
      <c r="U33" s="619" t="str">
        <f>IFERROR(IF(데이터입력!$AE$2="추경",VLOOKUP($N33,데이터입력!$A:$L,8,FALSE)+VLOOKUP($N33,데이터입력!$A:$L,9,FALSE)+VLOOKUP($N33,데이터입력!$A:$L,10,FALSE),""),"")</f>
        <v/>
      </c>
      <c r="V33" s="620" t="s">
        <v>135</v>
      </c>
      <c r="W33" s="620" t="s">
        <v>135</v>
      </c>
      <c r="X33" s="620" t="s">
        <v>135</v>
      </c>
      <c r="Y33" s="601"/>
      <c r="Z33" s="182" t="str">
        <f>데이터입력!$AB$8</f>
        <v>00</v>
      </c>
      <c r="AA33" s="185" t="str">
        <f>데이터입력!$AC$9</f>
        <v>일반사업[일반]</v>
      </c>
      <c r="AB33" s="183" t="str">
        <f>IFERROR(IF(데이터입력!$AE$2="추경",VLOOKUP($A33,#REF!,4,FALSE),""),"")</f>
        <v/>
      </c>
      <c r="AC33" s="183" t="str">
        <f>IFERROR(IF(데이터입력!$AE$2="추경",VLOOKUP($A33,#REF!,5,FALSE),""),"")</f>
        <v/>
      </c>
      <c r="AD33" s="183" t="str">
        <f>IFERROR(IF(데이터입력!$AE$2="추경",VLOOKUP($A33,#REF!,6,FALSE),""),"")</f>
        <v/>
      </c>
      <c r="AE33" s="183" t="str">
        <f>IFERROR(IF(데이터입력!$AE$2="추경",VLOOKUP($A33,#REF!,7,FALSE),""),"")</f>
        <v/>
      </c>
      <c r="AF33" s="183"/>
      <c r="AG33" s="184" t="str">
        <f>IFERROR(IF(데이터입력!$AE$2="추경",VLOOKUP($A33,#REF!,9,FALSE),""),"")</f>
        <v/>
      </c>
      <c r="AH33" s="184" t="str">
        <f>IFERROR(IF(데이터입력!$AE$2="추경",VLOOKUP($A33,#REF!,10,FALSE),""),"")</f>
        <v/>
      </c>
      <c r="AI33" s="184" t="str">
        <f>IFERROR(IF(데이터입력!$AE$2="추경",VLOOKUP($A33,#REF!,11,FALSE),""),"")</f>
        <v/>
      </c>
      <c r="AJ33" s="184" t="str">
        <f>IFERROR(IF(데이터입력!$AE$2="추경",VLOOKUP($A33,#REF!,12,FALSE),""),"")</f>
        <v/>
      </c>
      <c r="AK33" s="184" t="str">
        <f>IFERROR(IF(데이터입력!$AE$2="추경",VLOOKUP($A33,#REF!,13,FALSE),""),"")</f>
        <v/>
      </c>
    </row>
    <row r="34" spans="1:37">
      <c r="A34" s="180">
        <v>32</v>
      </c>
      <c r="B34" s="608" t="str">
        <f>IFERROR(IF(F34="06",데이터입력!$AB$8,IF(F34="07",데이터입력!$AD$8,IF(F34="05",데이터입력!$AF$8,데이터입력!$AB$8))),데이터입력!$AB$8)</f>
        <v>00</v>
      </c>
      <c r="C34" s="609" t="str">
        <f>데이터입력!$AC$9</f>
        <v>일반사업[일반]</v>
      </c>
      <c r="D34" s="610" t="str">
        <f>IFERROR(IF(AND(데이터입력!$AE$2="추경",데이터입력!$AM$2=TRUE),VLOOKUP($A34,데이터입력!$A:$H,4,FALSE),""),"")</f>
        <v/>
      </c>
      <c r="E34" s="610" t="str">
        <f>IFERROR(IF(AND(데이터입력!$AE$2="추경",데이터입력!$AM$2=TRUE),VLOOKUP($A34,데이터입력!$A:$H,2,FALSE),""),"")</f>
        <v/>
      </c>
      <c r="F34" s="610" t="str">
        <f>IFERROR(IF(AND(데이터입력!$AE$2="추경",데이터입력!$AM$2=TRUE),VLOOKUP($A34,데이터입력!$A:$H,5,FALSE),""),"")</f>
        <v/>
      </c>
      <c r="G34" s="610" t="str">
        <f>IFERROR(IF(AND(데이터입력!$AE$2="추경",데이터입력!$AM$2=TRUE),VLOOKUP($A34,데이터입력!$A:$H,6,FALSE),""),"")</f>
        <v/>
      </c>
      <c r="H34" s="611" t="str">
        <f>IFERROR(IF(AND(데이터입력!$AE$2="추경",데이터입력!$AM$2=TRUE),VLOOKUP($A34,데이터입력!$A:$L,7,FALSE),""),"")</f>
        <v/>
      </c>
      <c r="I34" s="611" t="str">
        <f>IFERROR(IF(AND(데이터입력!$AE$2="추경",데이터입력!$AM$2=TRUE),VLOOKUP($A34,데이터입력!$A:$L,8,FALSE)+VLOOKUP($A34,데이터입력!$A:$L,9,FALSE)+VLOOKUP($A34,데이터입력!$A:$L,10,FALSE),""),"")</f>
        <v/>
      </c>
      <c r="J34" s="612" t="s">
        <v>135</v>
      </c>
      <c r="K34" s="612" t="s">
        <v>135</v>
      </c>
      <c r="L34" s="612" t="s">
        <v>135</v>
      </c>
      <c r="M34" s="604"/>
      <c r="N34" s="180">
        <v>232</v>
      </c>
      <c r="O34" s="616" t="str">
        <f>IFERROR(IF(S34="06",데이터입력!$AB$8,IF(S34="07",데이터입력!$AD$8,IF(S34="05",데이터입력!$AF$8,데이터입력!$AB$8))),데이터입력!$AB$8)</f>
        <v>00</v>
      </c>
      <c r="P34" s="617" t="str">
        <f>데이터입력!$AC$9</f>
        <v>일반사업[일반]</v>
      </c>
      <c r="Q34" s="618" t="str">
        <f>IFERROR(IF(데이터입력!$AE$2="추경",VLOOKUP($N34,데이터입력!$A:$H,4,FALSE),""),"")</f>
        <v/>
      </c>
      <c r="R34" s="618" t="str">
        <f>IFERROR(IF(데이터입력!$AE$2="추경",VLOOKUP($N34,데이터입력!$A:$H,2,FALSE),""),"")</f>
        <v/>
      </c>
      <c r="S34" s="618" t="str">
        <f>IFERROR(IF(데이터입력!$AE$2="추경",VLOOKUP($N34,데이터입력!$A:$H,5,FALSE),""),"")</f>
        <v/>
      </c>
      <c r="T34" s="618" t="str">
        <f>IFERROR(IF(데이터입력!$AE$2="추경",VLOOKUP($N34,데이터입력!$A:$H,6,FALSE),""),"")</f>
        <v/>
      </c>
      <c r="U34" s="619" t="str">
        <f>IFERROR(IF(데이터입력!$AE$2="추경",VLOOKUP($N34,데이터입력!$A:$L,8,FALSE)+VLOOKUP($N34,데이터입력!$A:$L,9,FALSE)+VLOOKUP($N34,데이터입력!$A:$L,10,FALSE),""),"")</f>
        <v/>
      </c>
      <c r="V34" s="620" t="s">
        <v>135</v>
      </c>
      <c r="W34" s="620" t="s">
        <v>135</v>
      </c>
      <c r="X34" s="620" t="s">
        <v>135</v>
      </c>
      <c r="Y34" s="600"/>
      <c r="Z34" s="182" t="str">
        <f>데이터입력!$AB$8</f>
        <v>00</v>
      </c>
      <c r="AA34" s="185" t="str">
        <f>데이터입력!$AC$9</f>
        <v>일반사업[일반]</v>
      </c>
      <c r="AB34" s="183" t="str">
        <f>IFERROR(IF(데이터입력!$AE$2="추경",VLOOKUP($A34,#REF!,4,FALSE),""),"")</f>
        <v/>
      </c>
      <c r="AC34" s="183" t="str">
        <f>IFERROR(IF(데이터입력!$AE$2="추경",VLOOKUP($A34,#REF!,5,FALSE),""),"")</f>
        <v/>
      </c>
      <c r="AD34" s="183" t="str">
        <f>IFERROR(IF(데이터입력!$AE$2="추경",VLOOKUP($A34,#REF!,6,FALSE),""),"")</f>
        <v/>
      </c>
      <c r="AE34" s="183" t="str">
        <f>IFERROR(IF(데이터입력!$AE$2="추경",VLOOKUP($A34,#REF!,7,FALSE),""),"")</f>
        <v/>
      </c>
      <c r="AF34" s="183"/>
      <c r="AG34" s="184" t="str">
        <f>IFERROR(IF(데이터입력!$AE$2="추경",VLOOKUP($A34,#REF!,9,FALSE),""),"")</f>
        <v/>
      </c>
      <c r="AH34" s="184" t="str">
        <f>IFERROR(IF(데이터입력!$AE$2="추경",VLOOKUP($A34,#REF!,10,FALSE),""),"")</f>
        <v/>
      </c>
      <c r="AI34" s="184" t="str">
        <f>IFERROR(IF(데이터입력!$AE$2="추경",VLOOKUP($A34,#REF!,11,FALSE),""),"")</f>
        <v/>
      </c>
      <c r="AJ34" s="184" t="str">
        <f>IFERROR(IF(데이터입력!$AE$2="추경",VLOOKUP($A34,#REF!,12,FALSE),""),"")</f>
        <v/>
      </c>
      <c r="AK34" s="184" t="str">
        <f>IFERROR(IF(데이터입력!$AE$2="추경",VLOOKUP($A34,#REF!,13,FALSE),""),"")</f>
        <v/>
      </c>
    </row>
    <row r="35" spans="1:37">
      <c r="A35" s="180">
        <v>33</v>
      </c>
      <c r="B35" s="608" t="str">
        <f>IFERROR(IF(F35="06",데이터입력!$AB$8,IF(F35="07",데이터입력!$AD$8,IF(F35="05",데이터입력!$AF$8,데이터입력!$AB$8))),데이터입력!$AB$8)</f>
        <v>00</v>
      </c>
      <c r="C35" s="609" t="str">
        <f>데이터입력!$AC$9</f>
        <v>일반사업[일반]</v>
      </c>
      <c r="D35" s="610" t="str">
        <f>IFERROR(IF(AND(데이터입력!$AE$2="추경",데이터입력!$AM$2=TRUE),VLOOKUP($A35,데이터입력!$A:$H,4,FALSE),""),"")</f>
        <v/>
      </c>
      <c r="E35" s="610" t="str">
        <f>IFERROR(IF(AND(데이터입력!$AE$2="추경",데이터입력!$AM$2=TRUE),VLOOKUP($A35,데이터입력!$A:$H,2,FALSE),""),"")</f>
        <v/>
      </c>
      <c r="F35" s="610" t="str">
        <f>IFERROR(IF(AND(데이터입력!$AE$2="추경",데이터입력!$AM$2=TRUE),VLOOKUP($A35,데이터입력!$A:$H,5,FALSE),""),"")</f>
        <v/>
      </c>
      <c r="G35" s="610" t="str">
        <f>IFERROR(IF(AND(데이터입력!$AE$2="추경",데이터입력!$AM$2=TRUE),VLOOKUP($A35,데이터입력!$A:$H,6,FALSE),""),"")</f>
        <v/>
      </c>
      <c r="H35" s="611" t="str">
        <f>IFERROR(IF(AND(데이터입력!$AE$2="추경",데이터입력!$AM$2=TRUE),VLOOKUP($A35,데이터입력!$A:$L,7,FALSE),""),"")</f>
        <v/>
      </c>
      <c r="I35" s="611" t="str">
        <f>IFERROR(IF(AND(데이터입력!$AE$2="추경",데이터입력!$AM$2=TRUE),VLOOKUP($A35,데이터입력!$A:$L,8,FALSE)+VLOOKUP($A35,데이터입력!$A:$L,9,FALSE)+VLOOKUP($A35,데이터입력!$A:$L,10,FALSE),""),"")</f>
        <v/>
      </c>
      <c r="J35" s="612" t="s">
        <v>135</v>
      </c>
      <c r="K35" s="612" t="s">
        <v>135</v>
      </c>
      <c r="L35" s="612" t="s">
        <v>135</v>
      </c>
      <c r="M35" s="604"/>
      <c r="N35" s="180">
        <v>233</v>
      </c>
      <c r="O35" s="616" t="str">
        <f>IFERROR(IF(S35="06",데이터입력!$AB$8,IF(S35="07",데이터입력!$AD$8,IF(S35="05",데이터입력!$AF$8,데이터입력!$AB$8))),데이터입력!$AB$8)</f>
        <v>00</v>
      </c>
      <c r="P35" s="617" t="str">
        <f>데이터입력!$AC$9</f>
        <v>일반사업[일반]</v>
      </c>
      <c r="Q35" s="618" t="str">
        <f>IFERROR(IF(데이터입력!$AE$2="추경",VLOOKUP($N35,데이터입력!$A:$H,4,FALSE),""),"")</f>
        <v/>
      </c>
      <c r="R35" s="618" t="str">
        <f>IFERROR(IF(데이터입력!$AE$2="추경",VLOOKUP($N35,데이터입력!$A:$H,2,FALSE),""),"")</f>
        <v/>
      </c>
      <c r="S35" s="618" t="str">
        <f>IFERROR(IF(데이터입력!$AE$2="추경",VLOOKUP($N35,데이터입력!$A:$H,5,FALSE),""),"")</f>
        <v/>
      </c>
      <c r="T35" s="618" t="str">
        <f>IFERROR(IF(데이터입력!$AE$2="추경",VLOOKUP($N35,데이터입력!$A:$H,6,FALSE),""),"")</f>
        <v/>
      </c>
      <c r="U35" s="619" t="str">
        <f>IFERROR(IF(데이터입력!$AE$2="추경",VLOOKUP($N35,데이터입력!$A:$L,8,FALSE)+VLOOKUP($N35,데이터입력!$A:$L,9,FALSE)+VLOOKUP($N35,데이터입력!$A:$L,10,FALSE),""),"")</f>
        <v/>
      </c>
      <c r="V35" s="620" t="s">
        <v>135</v>
      </c>
      <c r="W35" s="620" t="s">
        <v>135</v>
      </c>
      <c r="X35" s="620" t="s">
        <v>135</v>
      </c>
      <c r="Y35" s="600"/>
      <c r="Z35" s="182" t="str">
        <f>데이터입력!$AB$8</f>
        <v>00</v>
      </c>
      <c r="AA35" s="185" t="str">
        <f>데이터입력!$AC$9</f>
        <v>일반사업[일반]</v>
      </c>
      <c r="AB35" s="183" t="str">
        <f>IFERROR(IF(데이터입력!$AE$2="추경",VLOOKUP($A35,#REF!,4,FALSE),""),"")</f>
        <v/>
      </c>
      <c r="AC35" s="183" t="str">
        <f>IFERROR(IF(데이터입력!$AE$2="추경",VLOOKUP($A35,#REF!,5,FALSE),""),"")</f>
        <v/>
      </c>
      <c r="AD35" s="183" t="str">
        <f>IFERROR(IF(데이터입력!$AE$2="추경",VLOOKUP($A35,#REF!,6,FALSE),""),"")</f>
        <v/>
      </c>
      <c r="AE35" s="183" t="str">
        <f>IFERROR(IF(데이터입력!$AE$2="추경",VLOOKUP($A35,#REF!,7,FALSE),""),"")</f>
        <v/>
      </c>
      <c r="AF35" s="183"/>
      <c r="AG35" s="184" t="str">
        <f>IFERROR(IF(데이터입력!$AE$2="추경",VLOOKUP($A35,#REF!,9,FALSE),""),"")</f>
        <v/>
      </c>
      <c r="AH35" s="184" t="str">
        <f>IFERROR(IF(데이터입력!$AE$2="추경",VLOOKUP($A35,#REF!,10,FALSE),""),"")</f>
        <v/>
      </c>
      <c r="AI35" s="184" t="str">
        <f>IFERROR(IF(데이터입력!$AE$2="추경",VLOOKUP($A35,#REF!,11,FALSE),""),"")</f>
        <v/>
      </c>
      <c r="AJ35" s="184" t="str">
        <f>IFERROR(IF(데이터입력!$AE$2="추경",VLOOKUP($A35,#REF!,12,FALSE),""),"")</f>
        <v/>
      </c>
      <c r="AK35" s="184" t="str">
        <f>IFERROR(IF(데이터입력!$AE$2="추경",VLOOKUP($A35,#REF!,13,FALSE),""),"")</f>
        <v/>
      </c>
    </row>
    <row r="36" spans="1:37">
      <c r="A36" s="180">
        <v>34</v>
      </c>
      <c r="B36" s="608" t="str">
        <f>IFERROR(IF(F36="06",데이터입력!$AB$8,IF(F36="07",데이터입력!$AD$8,IF(F36="05",데이터입력!$AF$8,데이터입력!$AB$8))),데이터입력!$AB$8)</f>
        <v>00</v>
      </c>
      <c r="C36" s="609" t="str">
        <f>데이터입력!$AC$9</f>
        <v>일반사업[일반]</v>
      </c>
      <c r="D36" s="610" t="str">
        <f>IFERROR(IF(AND(데이터입력!$AE$2="추경",데이터입력!$AM$2=TRUE),VLOOKUP($A36,데이터입력!$A:$H,4,FALSE),""),"")</f>
        <v/>
      </c>
      <c r="E36" s="610" t="str">
        <f>IFERROR(IF(AND(데이터입력!$AE$2="추경",데이터입력!$AM$2=TRUE),VLOOKUP($A36,데이터입력!$A:$H,2,FALSE),""),"")</f>
        <v/>
      </c>
      <c r="F36" s="610" t="str">
        <f>IFERROR(IF(AND(데이터입력!$AE$2="추경",데이터입력!$AM$2=TRUE),VLOOKUP($A36,데이터입력!$A:$H,5,FALSE),""),"")</f>
        <v/>
      </c>
      <c r="G36" s="610" t="str">
        <f>IFERROR(IF(AND(데이터입력!$AE$2="추경",데이터입력!$AM$2=TRUE),VLOOKUP($A36,데이터입력!$A:$H,6,FALSE),""),"")</f>
        <v/>
      </c>
      <c r="H36" s="611" t="str">
        <f>IFERROR(IF(AND(데이터입력!$AE$2="추경",데이터입력!$AM$2=TRUE),VLOOKUP($A36,데이터입력!$A:$L,7,FALSE),""),"")</f>
        <v/>
      </c>
      <c r="I36" s="611" t="str">
        <f>IFERROR(IF(AND(데이터입력!$AE$2="추경",데이터입력!$AM$2=TRUE),VLOOKUP($A36,데이터입력!$A:$L,8,FALSE)+VLOOKUP($A36,데이터입력!$A:$L,9,FALSE)+VLOOKUP($A36,데이터입력!$A:$L,10,FALSE),""),"")</f>
        <v/>
      </c>
      <c r="J36" s="612" t="s">
        <v>135</v>
      </c>
      <c r="K36" s="612" t="s">
        <v>135</v>
      </c>
      <c r="L36" s="612" t="s">
        <v>135</v>
      </c>
      <c r="M36" s="604"/>
      <c r="N36" s="180">
        <v>234</v>
      </c>
      <c r="O36" s="616" t="str">
        <f>IFERROR(IF(S36="06",데이터입력!$AB$8,IF(S36="07",데이터입력!$AD$8,IF(S36="05",데이터입력!$AF$8,데이터입력!$AB$8))),데이터입력!$AB$8)</f>
        <v>00</v>
      </c>
      <c r="P36" s="617" t="str">
        <f>데이터입력!$AC$9</f>
        <v>일반사업[일반]</v>
      </c>
      <c r="Q36" s="618" t="str">
        <f>IFERROR(IF(데이터입력!$AE$2="추경",VLOOKUP($N36,데이터입력!$A:$H,4,FALSE),""),"")</f>
        <v/>
      </c>
      <c r="R36" s="618" t="str">
        <f>IFERROR(IF(데이터입력!$AE$2="추경",VLOOKUP($N36,데이터입력!$A:$H,2,FALSE),""),"")</f>
        <v/>
      </c>
      <c r="S36" s="618" t="str">
        <f>IFERROR(IF(데이터입력!$AE$2="추경",VLOOKUP($N36,데이터입력!$A:$H,5,FALSE),""),"")</f>
        <v/>
      </c>
      <c r="T36" s="618" t="str">
        <f>IFERROR(IF(데이터입력!$AE$2="추경",VLOOKUP($N36,데이터입력!$A:$H,6,FALSE),""),"")</f>
        <v/>
      </c>
      <c r="U36" s="619" t="str">
        <f>IFERROR(IF(데이터입력!$AE$2="추경",VLOOKUP($N36,데이터입력!$A:$L,8,FALSE)+VLOOKUP($N36,데이터입력!$A:$L,9,FALSE)+VLOOKUP($N36,데이터입력!$A:$L,10,FALSE),""),"")</f>
        <v/>
      </c>
      <c r="V36" s="620" t="s">
        <v>135</v>
      </c>
      <c r="W36" s="620" t="s">
        <v>135</v>
      </c>
      <c r="X36" s="620" t="s">
        <v>135</v>
      </c>
      <c r="Y36" s="600"/>
      <c r="Z36" s="182" t="str">
        <f>데이터입력!$AB$8</f>
        <v>00</v>
      </c>
      <c r="AA36" s="185" t="str">
        <f>데이터입력!$AC$9</f>
        <v>일반사업[일반]</v>
      </c>
      <c r="AB36" s="183" t="str">
        <f>IFERROR(IF(데이터입력!$AE$2="추경",VLOOKUP($A36,#REF!,4,FALSE),""),"")</f>
        <v/>
      </c>
      <c r="AC36" s="183" t="str">
        <f>IFERROR(IF(데이터입력!$AE$2="추경",VLOOKUP($A36,#REF!,5,FALSE),""),"")</f>
        <v/>
      </c>
      <c r="AD36" s="183" t="str">
        <f>IFERROR(IF(데이터입력!$AE$2="추경",VLOOKUP($A36,#REF!,6,FALSE),""),"")</f>
        <v/>
      </c>
      <c r="AE36" s="183" t="str">
        <f>IFERROR(IF(데이터입력!$AE$2="추경",VLOOKUP($A36,#REF!,7,FALSE),""),"")</f>
        <v/>
      </c>
      <c r="AF36" s="183"/>
      <c r="AG36" s="184" t="str">
        <f>IFERROR(IF(데이터입력!$AE$2="추경",VLOOKUP($A36,#REF!,9,FALSE),""),"")</f>
        <v/>
      </c>
      <c r="AH36" s="184" t="str">
        <f>IFERROR(IF(데이터입력!$AE$2="추경",VLOOKUP($A36,#REF!,10,FALSE),""),"")</f>
        <v/>
      </c>
      <c r="AI36" s="184" t="str">
        <f>IFERROR(IF(데이터입력!$AE$2="추경",VLOOKUP($A36,#REF!,11,FALSE),""),"")</f>
        <v/>
      </c>
      <c r="AJ36" s="184" t="str">
        <f>IFERROR(IF(데이터입력!$AE$2="추경",VLOOKUP($A36,#REF!,12,FALSE),""),"")</f>
        <v/>
      </c>
      <c r="AK36" s="184" t="str">
        <f>IFERROR(IF(데이터입력!$AE$2="추경",VLOOKUP($A36,#REF!,13,FALSE),""),"")</f>
        <v/>
      </c>
    </row>
    <row r="37" spans="1:37">
      <c r="A37" s="180">
        <v>35</v>
      </c>
      <c r="B37" s="608" t="str">
        <f>IFERROR(IF(F37="06",데이터입력!$AB$8,IF(F37="07",데이터입력!$AD$8,IF(F37="05",데이터입력!$AF$8,데이터입력!$AB$8))),데이터입력!$AB$8)</f>
        <v>00</v>
      </c>
      <c r="C37" s="609" t="str">
        <f>데이터입력!$AC$9</f>
        <v>일반사업[일반]</v>
      </c>
      <c r="D37" s="610" t="str">
        <f>IFERROR(IF(AND(데이터입력!$AE$2="추경",데이터입력!$AM$2=TRUE),VLOOKUP($A37,데이터입력!$A:$H,4,FALSE),""),"")</f>
        <v/>
      </c>
      <c r="E37" s="610" t="str">
        <f>IFERROR(IF(AND(데이터입력!$AE$2="추경",데이터입력!$AM$2=TRUE),VLOOKUP($A37,데이터입력!$A:$H,2,FALSE),""),"")</f>
        <v/>
      </c>
      <c r="F37" s="610" t="str">
        <f>IFERROR(IF(AND(데이터입력!$AE$2="추경",데이터입력!$AM$2=TRUE),VLOOKUP($A37,데이터입력!$A:$H,5,FALSE),""),"")</f>
        <v/>
      </c>
      <c r="G37" s="610" t="str">
        <f>IFERROR(IF(AND(데이터입력!$AE$2="추경",데이터입력!$AM$2=TRUE),VLOOKUP($A37,데이터입력!$A:$H,6,FALSE),""),"")</f>
        <v/>
      </c>
      <c r="H37" s="611" t="str">
        <f>IFERROR(IF(AND(데이터입력!$AE$2="추경",데이터입력!$AM$2=TRUE),VLOOKUP($A37,데이터입력!$A:$L,7,FALSE),""),"")</f>
        <v/>
      </c>
      <c r="I37" s="611" t="str">
        <f>IFERROR(IF(AND(데이터입력!$AE$2="추경",데이터입력!$AM$2=TRUE),VLOOKUP($A37,데이터입력!$A:$L,8,FALSE)+VLOOKUP($A37,데이터입력!$A:$L,9,FALSE)+VLOOKUP($A37,데이터입력!$A:$L,10,FALSE),""),"")</f>
        <v/>
      </c>
      <c r="J37" s="612" t="s">
        <v>135</v>
      </c>
      <c r="K37" s="612" t="s">
        <v>135</v>
      </c>
      <c r="L37" s="612" t="s">
        <v>135</v>
      </c>
      <c r="M37" s="604"/>
      <c r="N37" s="180">
        <v>235</v>
      </c>
      <c r="O37" s="616" t="str">
        <f>IFERROR(IF(S37="06",데이터입력!$AB$8,IF(S37="07",데이터입력!$AD$8,IF(S37="05",데이터입력!$AF$8,데이터입력!$AB$8))),데이터입력!$AB$8)</f>
        <v>00</v>
      </c>
      <c r="P37" s="617" t="str">
        <f>데이터입력!$AC$9</f>
        <v>일반사업[일반]</v>
      </c>
      <c r="Q37" s="618" t="str">
        <f>IFERROR(IF(데이터입력!$AE$2="추경",VLOOKUP($N37,데이터입력!$A:$H,4,FALSE),""),"")</f>
        <v/>
      </c>
      <c r="R37" s="618" t="str">
        <f>IFERROR(IF(데이터입력!$AE$2="추경",VLOOKUP($N37,데이터입력!$A:$H,2,FALSE),""),"")</f>
        <v/>
      </c>
      <c r="S37" s="618" t="str">
        <f>IFERROR(IF(데이터입력!$AE$2="추경",VLOOKUP($N37,데이터입력!$A:$H,5,FALSE),""),"")</f>
        <v/>
      </c>
      <c r="T37" s="618" t="str">
        <f>IFERROR(IF(데이터입력!$AE$2="추경",VLOOKUP($N37,데이터입력!$A:$H,6,FALSE),""),"")</f>
        <v/>
      </c>
      <c r="U37" s="619" t="str">
        <f>IFERROR(IF(데이터입력!$AE$2="추경",VLOOKUP($N37,데이터입력!$A:$L,8,FALSE)+VLOOKUP($N37,데이터입력!$A:$L,9,FALSE)+VLOOKUP($N37,데이터입력!$A:$L,10,FALSE),""),"")</f>
        <v/>
      </c>
      <c r="V37" s="620" t="s">
        <v>135</v>
      </c>
      <c r="W37" s="620" t="s">
        <v>135</v>
      </c>
      <c r="X37" s="620" t="s">
        <v>135</v>
      </c>
      <c r="Y37" s="600"/>
      <c r="Z37" s="182" t="str">
        <f>데이터입력!$AB$8</f>
        <v>00</v>
      </c>
      <c r="AA37" s="185" t="str">
        <f>데이터입력!$AC$9</f>
        <v>일반사업[일반]</v>
      </c>
      <c r="AB37" s="183" t="str">
        <f>IFERROR(IF(데이터입력!$AE$2="추경",VLOOKUP($A37,#REF!,4,FALSE),""),"")</f>
        <v/>
      </c>
      <c r="AC37" s="183" t="str">
        <f>IFERROR(IF(데이터입력!$AE$2="추경",VLOOKUP($A37,#REF!,5,FALSE),""),"")</f>
        <v/>
      </c>
      <c r="AD37" s="183" t="str">
        <f>IFERROR(IF(데이터입력!$AE$2="추경",VLOOKUP($A37,#REF!,6,FALSE),""),"")</f>
        <v/>
      </c>
      <c r="AE37" s="183" t="str">
        <f>IFERROR(IF(데이터입력!$AE$2="추경",VLOOKUP($A37,#REF!,7,FALSE),""),"")</f>
        <v/>
      </c>
      <c r="AF37" s="183"/>
      <c r="AG37" s="184" t="str">
        <f>IFERROR(IF(데이터입력!$AE$2="추경",VLOOKUP($A37,#REF!,9,FALSE),""),"")</f>
        <v/>
      </c>
      <c r="AH37" s="184" t="str">
        <f>IFERROR(IF(데이터입력!$AE$2="추경",VLOOKUP($A37,#REF!,10,FALSE),""),"")</f>
        <v/>
      </c>
      <c r="AI37" s="184" t="str">
        <f>IFERROR(IF(데이터입력!$AE$2="추경",VLOOKUP($A37,#REF!,11,FALSE),""),"")</f>
        <v/>
      </c>
      <c r="AJ37" s="184" t="str">
        <f>IFERROR(IF(데이터입력!$AE$2="추경",VLOOKUP($A37,#REF!,12,FALSE),""),"")</f>
        <v/>
      </c>
      <c r="AK37" s="184" t="str">
        <f>IFERROR(IF(데이터입력!$AE$2="추경",VLOOKUP($A37,#REF!,13,FALSE),""),"")</f>
        <v/>
      </c>
    </row>
    <row r="38" spans="1:37">
      <c r="A38" s="180">
        <v>36</v>
      </c>
      <c r="B38" s="608" t="str">
        <f>IFERROR(IF(F38="06",데이터입력!$AB$8,IF(F38="07",데이터입력!$AD$8,IF(F38="05",데이터입력!$AF$8,데이터입력!$AB$8))),데이터입력!$AB$8)</f>
        <v>00</v>
      </c>
      <c r="C38" s="609" t="str">
        <f>데이터입력!$AC$9</f>
        <v>일반사업[일반]</v>
      </c>
      <c r="D38" s="610" t="str">
        <f>IFERROR(IF(AND(데이터입력!$AE$2="추경",데이터입력!$AM$2=TRUE),VLOOKUP($A38,데이터입력!$A:$H,4,FALSE),""),"")</f>
        <v/>
      </c>
      <c r="E38" s="610" t="str">
        <f>IFERROR(IF(AND(데이터입력!$AE$2="추경",데이터입력!$AM$2=TRUE),VLOOKUP($A38,데이터입력!$A:$H,2,FALSE),""),"")</f>
        <v/>
      </c>
      <c r="F38" s="610" t="str">
        <f>IFERROR(IF(AND(데이터입력!$AE$2="추경",데이터입력!$AM$2=TRUE),VLOOKUP($A38,데이터입력!$A:$H,5,FALSE),""),"")</f>
        <v/>
      </c>
      <c r="G38" s="610" t="str">
        <f>IFERROR(IF(AND(데이터입력!$AE$2="추경",데이터입력!$AM$2=TRUE),VLOOKUP($A38,데이터입력!$A:$H,6,FALSE),""),"")</f>
        <v/>
      </c>
      <c r="H38" s="611" t="str">
        <f>IFERROR(IF(AND(데이터입력!$AE$2="추경",데이터입력!$AM$2=TRUE),VLOOKUP($A38,데이터입력!$A:$L,7,FALSE),""),"")</f>
        <v/>
      </c>
      <c r="I38" s="611" t="str">
        <f>IFERROR(IF(AND(데이터입력!$AE$2="추경",데이터입력!$AM$2=TRUE),VLOOKUP($A38,데이터입력!$A:$L,8,FALSE)+VLOOKUP($A38,데이터입력!$A:$L,9,FALSE)+VLOOKUP($A38,데이터입력!$A:$L,10,FALSE),""),"")</f>
        <v/>
      </c>
      <c r="J38" s="612" t="s">
        <v>135</v>
      </c>
      <c r="K38" s="612" t="s">
        <v>135</v>
      </c>
      <c r="L38" s="612" t="s">
        <v>135</v>
      </c>
      <c r="M38" s="604"/>
      <c r="N38" s="180">
        <v>236</v>
      </c>
      <c r="O38" s="616" t="str">
        <f>IFERROR(IF(S38="06",데이터입력!$AB$8,IF(S38="07",데이터입력!$AD$8,IF(S38="05",데이터입력!$AF$8,데이터입력!$AB$8))),데이터입력!$AB$8)</f>
        <v>00</v>
      </c>
      <c r="P38" s="617" t="str">
        <f>데이터입력!$AC$9</f>
        <v>일반사업[일반]</v>
      </c>
      <c r="Q38" s="618" t="str">
        <f>IFERROR(IF(데이터입력!$AE$2="추경",VLOOKUP($N38,데이터입력!$A:$H,4,FALSE),""),"")</f>
        <v/>
      </c>
      <c r="R38" s="618" t="str">
        <f>IFERROR(IF(데이터입력!$AE$2="추경",VLOOKUP($N38,데이터입력!$A:$H,2,FALSE),""),"")</f>
        <v/>
      </c>
      <c r="S38" s="618" t="str">
        <f>IFERROR(IF(데이터입력!$AE$2="추경",VLOOKUP($N38,데이터입력!$A:$H,5,FALSE),""),"")</f>
        <v/>
      </c>
      <c r="T38" s="618" t="str">
        <f>IFERROR(IF(데이터입력!$AE$2="추경",VLOOKUP($N38,데이터입력!$A:$H,6,FALSE),""),"")</f>
        <v/>
      </c>
      <c r="U38" s="619" t="str">
        <f>IFERROR(IF(데이터입력!$AE$2="추경",VLOOKUP($N38,데이터입력!$A:$L,8,FALSE)+VLOOKUP($N38,데이터입력!$A:$L,9,FALSE)+VLOOKUP($N38,데이터입력!$A:$L,10,FALSE),""),"")</f>
        <v/>
      </c>
      <c r="V38" s="620" t="s">
        <v>135</v>
      </c>
      <c r="W38" s="620" t="s">
        <v>135</v>
      </c>
      <c r="X38" s="620" t="s">
        <v>135</v>
      </c>
      <c r="Y38" s="600"/>
      <c r="Z38" s="182" t="str">
        <f>데이터입력!$AB$8</f>
        <v>00</v>
      </c>
      <c r="AA38" s="185" t="str">
        <f>데이터입력!$AC$9</f>
        <v>일반사업[일반]</v>
      </c>
      <c r="AB38" s="183" t="str">
        <f>IFERROR(IF(데이터입력!$AE$2="추경",VLOOKUP($A38,#REF!,4,FALSE),""),"")</f>
        <v/>
      </c>
      <c r="AC38" s="183" t="str">
        <f>IFERROR(IF(데이터입력!$AE$2="추경",VLOOKUP($A38,#REF!,5,FALSE),""),"")</f>
        <v/>
      </c>
      <c r="AD38" s="183" t="str">
        <f>IFERROR(IF(데이터입력!$AE$2="추경",VLOOKUP($A38,#REF!,6,FALSE),""),"")</f>
        <v/>
      </c>
      <c r="AE38" s="183" t="str">
        <f>IFERROR(IF(데이터입력!$AE$2="추경",VLOOKUP($A38,#REF!,7,FALSE),""),"")</f>
        <v/>
      </c>
      <c r="AF38" s="183"/>
      <c r="AG38" s="184" t="str">
        <f>IFERROR(IF(데이터입력!$AE$2="추경",VLOOKUP($A38,#REF!,9,FALSE),""),"")</f>
        <v/>
      </c>
      <c r="AH38" s="184" t="str">
        <f>IFERROR(IF(데이터입력!$AE$2="추경",VLOOKUP($A38,#REF!,10,FALSE),""),"")</f>
        <v/>
      </c>
      <c r="AI38" s="184" t="str">
        <f>IFERROR(IF(데이터입력!$AE$2="추경",VLOOKUP($A38,#REF!,11,FALSE),""),"")</f>
        <v/>
      </c>
      <c r="AJ38" s="184" t="str">
        <f>IFERROR(IF(데이터입력!$AE$2="추경",VLOOKUP($A38,#REF!,12,FALSE),""),"")</f>
        <v/>
      </c>
      <c r="AK38" s="184" t="str">
        <f>IFERROR(IF(데이터입력!$AE$2="추경",VLOOKUP($A38,#REF!,13,FALSE),""),"")</f>
        <v/>
      </c>
    </row>
    <row r="39" spans="1:37">
      <c r="A39" s="180">
        <v>37</v>
      </c>
      <c r="B39" s="608" t="str">
        <f>IFERROR(IF(F39="06",데이터입력!$AB$8,IF(F39="07",데이터입력!$AD$8,IF(F39="05",데이터입력!$AF$8,데이터입력!$AB$8))),데이터입력!$AB$8)</f>
        <v>00</v>
      </c>
      <c r="C39" s="609" t="str">
        <f>데이터입력!$AC$9</f>
        <v>일반사업[일반]</v>
      </c>
      <c r="D39" s="610" t="str">
        <f>IFERROR(IF(AND(데이터입력!$AE$2="추경",데이터입력!$AM$2=TRUE),VLOOKUP($A39,데이터입력!$A:$H,4,FALSE),""),"")</f>
        <v/>
      </c>
      <c r="E39" s="610" t="str">
        <f>IFERROR(IF(AND(데이터입력!$AE$2="추경",데이터입력!$AM$2=TRUE),VLOOKUP($A39,데이터입력!$A:$H,2,FALSE),""),"")</f>
        <v/>
      </c>
      <c r="F39" s="610" t="str">
        <f>IFERROR(IF(AND(데이터입력!$AE$2="추경",데이터입력!$AM$2=TRUE),VLOOKUP($A39,데이터입력!$A:$H,5,FALSE),""),"")</f>
        <v/>
      </c>
      <c r="G39" s="610" t="str">
        <f>IFERROR(IF(AND(데이터입력!$AE$2="추경",데이터입력!$AM$2=TRUE),VLOOKUP($A39,데이터입력!$A:$H,6,FALSE),""),"")</f>
        <v/>
      </c>
      <c r="H39" s="611" t="str">
        <f>IFERROR(IF(AND(데이터입력!$AE$2="추경",데이터입력!$AM$2=TRUE),VLOOKUP($A39,데이터입력!$A:$L,7,FALSE),""),"")</f>
        <v/>
      </c>
      <c r="I39" s="611" t="str">
        <f>IFERROR(IF(AND(데이터입력!$AE$2="추경",데이터입력!$AM$2=TRUE),VLOOKUP($A39,데이터입력!$A:$L,8,FALSE)+VLOOKUP($A39,데이터입력!$A:$L,9,FALSE)+VLOOKUP($A39,데이터입력!$A:$L,10,FALSE),""),"")</f>
        <v/>
      </c>
      <c r="J39" s="612" t="s">
        <v>135</v>
      </c>
      <c r="K39" s="612" t="s">
        <v>135</v>
      </c>
      <c r="L39" s="612" t="s">
        <v>135</v>
      </c>
      <c r="M39" s="604"/>
      <c r="N39" s="180">
        <v>237</v>
      </c>
      <c r="O39" s="616" t="str">
        <f>IFERROR(IF(S39="06",데이터입력!$AB$8,IF(S39="07",데이터입력!$AD$8,IF(S39="05",데이터입력!$AF$8,데이터입력!$AB$8))),데이터입력!$AB$8)</f>
        <v>00</v>
      </c>
      <c r="P39" s="617" t="str">
        <f>데이터입력!$AC$9</f>
        <v>일반사업[일반]</v>
      </c>
      <c r="Q39" s="618" t="str">
        <f>IFERROR(IF(데이터입력!$AE$2="추경",VLOOKUP($N39,데이터입력!$A:$H,4,FALSE),""),"")</f>
        <v/>
      </c>
      <c r="R39" s="618" t="str">
        <f>IFERROR(IF(데이터입력!$AE$2="추경",VLOOKUP($N39,데이터입력!$A:$H,2,FALSE),""),"")</f>
        <v/>
      </c>
      <c r="S39" s="618" t="str">
        <f>IFERROR(IF(데이터입력!$AE$2="추경",VLOOKUP($N39,데이터입력!$A:$H,5,FALSE),""),"")</f>
        <v/>
      </c>
      <c r="T39" s="618" t="str">
        <f>IFERROR(IF(데이터입력!$AE$2="추경",VLOOKUP($N39,데이터입력!$A:$H,6,FALSE),""),"")</f>
        <v/>
      </c>
      <c r="U39" s="619" t="str">
        <f>IFERROR(IF(데이터입력!$AE$2="추경",VLOOKUP($N39,데이터입력!$A:$L,8,FALSE)+VLOOKUP($N39,데이터입력!$A:$L,9,FALSE)+VLOOKUP($N39,데이터입력!$A:$L,10,FALSE),""),"")</f>
        <v/>
      </c>
      <c r="V39" s="620" t="s">
        <v>135</v>
      </c>
      <c r="W39" s="620" t="s">
        <v>135</v>
      </c>
      <c r="X39" s="620" t="s">
        <v>135</v>
      </c>
      <c r="Y39" s="600"/>
      <c r="Z39" s="182" t="str">
        <f>데이터입력!$AB$8</f>
        <v>00</v>
      </c>
      <c r="AA39" s="185" t="str">
        <f>데이터입력!$AC$9</f>
        <v>일반사업[일반]</v>
      </c>
      <c r="AB39" s="183" t="str">
        <f>IFERROR(IF(데이터입력!$AE$2="추경",VLOOKUP($A39,#REF!,4,FALSE),""),"")</f>
        <v/>
      </c>
      <c r="AC39" s="183" t="str">
        <f>IFERROR(IF(데이터입력!$AE$2="추경",VLOOKUP($A39,#REF!,5,FALSE),""),"")</f>
        <v/>
      </c>
      <c r="AD39" s="183" t="str">
        <f>IFERROR(IF(데이터입력!$AE$2="추경",VLOOKUP($A39,#REF!,6,FALSE),""),"")</f>
        <v/>
      </c>
      <c r="AE39" s="183" t="str">
        <f>IFERROR(IF(데이터입력!$AE$2="추경",VLOOKUP($A39,#REF!,7,FALSE),""),"")</f>
        <v/>
      </c>
      <c r="AF39" s="183"/>
      <c r="AG39" s="184" t="str">
        <f>IFERROR(IF(데이터입력!$AE$2="추경",VLOOKUP($A39,#REF!,9,FALSE),""),"")</f>
        <v/>
      </c>
      <c r="AH39" s="184" t="str">
        <f>IFERROR(IF(데이터입력!$AE$2="추경",VLOOKUP($A39,#REF!,10,FALSE),""),"")</f>
        <v/>
      </c>
      <c r="AI39" s="184" t="str">
        <f>IFERROR(IF(데이터입력!$AE$2="추경",VLOOKUP($A39,#REF!,11,FALSE),""),"")</f>
        <v/>
      </c>
      <c r="AJ39" s="184" t="str">
        <f>IFERROR(IF(데이터입력!$AE$2="추경",VLOOKUP($A39,#REF!,12,FALSE),""),"")</f>
        <v/>
      </c>
      <c r="AK39" s="184" t="str">
        <f>IFERROR(IF(데이터입력!$AE$2="추경",VLOOKUP($A39,#REF!,13,FALSE),""),"")</f>
        <v/>
      </c>
    </row>
    <row r="40" spans="1:37">
      <c r="A40" s="180">
        <v>38</v>
      </c>
      <c r="B40" s="608" t="str">
        <f>IFERROR(IF(F40="06",데이터입력!$AB$8,IF(F40="07",데이터입력!$AD$8,IF(F40="05",데이터입력!$AF$8,데이터입력!$AB$8))),데이터입력!$AB$8)</f>
        <v>00</v>
      </c>
      <c r="C40" s="609" t="str">
        <f>데이터입력!$AC$9</f>
        <v>일반사업[일반]</v>
      </c>
      <c r="D40" s="610" t="str">
        <f>IFERROR(IF(AND(데이터입력!$AE$2="추경",데이터입력!$AM$2=TRUE),VLOOKUP($A40,데이터입력!$A:$H,4,FALSE),""),"")</f>
        <v/>
      </c>
      <c r="E40" s="610" t="str">
        <f>IFERROR(IF(AND(데이터입력!$AE$2="추경",데이터입력!$AM$2=TRUE),VLOOKUP($A40,데이터입력!$A:$H,2,FALSE),""),"")</f>
        <v/>
      </c>
      <c r="F40" s="610" t="str">
        <f>IFERROR(IF(AND(데이터입력!$AE$2="추경",데이터입력!$AM$2=TRUE),VLOOKUP($A40,데이터입력!$A:$H,5,FALSE),""),"")</f>
        <v/>
      </c>
      <c r="G40" s="610" t="str">
        <f>IFERROR(IF(AND(데이터입력!$AE$2="추경",데이터입력!$AM$2=TRUE),VLOOKUP($A40,데이터입력!$A:$H,6,FALSE),""),"")</f>
        <v/>
      </c>
      <c r="H40" s="611" t="str">
        <f>IFERROR(IF(AND(데이터입력!$AE$2="추경",데이터입력!$AM$2=TRUE),VLOOKUP($A40,데이터입력!$A:$L,7,FALSE),""),"")</f>
        <v/>
      </c>
      <c r="I40" s="611" t="str">
        <f>IFERROR(IF(AND(데이터입력!$AE$2="추경",데이터입력!$AM$2=TRUE),VLOOKUP($A40,데이터입력!$A:$L,8,FALSE)+VLOOKUP($A40,데이터입력!$A:$L,9,FALSE)+VLOOKUP($A40,데이터입력!$A:$L,10,FALSE),""),"")</f>
        <v/>
      </c>
      <c r="J40" s="612" t="s">
        <v>135</v>
      </c>
      <c r="K40" s="612" t="s">
        <v>135</v>
      </c>
      <c r="L40" s="612" t="s">
        <v>135</v>
      </c>
      <c r="M40" s="604"/>
      <c r="N40" s="180">
        <v>238</v>
      </c>
      <c r="O40" s="616" t="str">
        <f>IFERROR(IF(S40="06",데이터입력!$AB$8,IF(S40="07",데이터입력!$AD$8,IF(S40="05",데이터입력!$AF$8,데이터입력!$AB$8))),데이터입력!$AB$8)</f>
        <v>00</v>
      </c>
      <c r="P40" s="617" t="str">
        <f>데이터입력!$AC$9</f>
        <v>일반사업[일반]</v>
      </c>
      <c r="Q40" s="618" t="str">
        <f>IFERROR(IF(데이터입력!$AE$2="추경",VLOOKUP($N40,데이터입력!$A:$H,4,FALSE),""),"")</f>
        <v/>
      </c>
      <c r="R40" s="618" t="str">
        <f>IFERROR(IF(데이터입력!$AE$2="추경",VLOOKUP($N40,데이터입력!$A:$H,2,FALSE),""),"")</f>
        <v/>
      </c>
      <c r="S40" s="618" t="str">
        <f>IFERROR(IF(데이터입력!$AE$2="추경",VLOOKUP($N40,데이터입력!$A:$H,5,FALSE),""),"")</f>
        <v/>
      </c>
      <c r="T40" s="618" t="str">
        <f>IFERROR(IF(데이터입력!$AE$2="추경",VLOOKUP($N40,데이터입력!$A:$H,6,FALSE),""),"")</f>
        <v/>
      </c>
      <c r="U40" s="619" t="str">
        <f>IFERROR(IF(데이터입력!$AE$2="추경",VLOOKUP($N40,데이터입력!$A:$L,8,FALSE)+VLOOKUP($N40,데이터입력!$A:$L,9,FALSE)+VLOOKUP($N40,데이터입력!$A:$L,10,FALSE),""),"")</f>
        <v/>
      </c>
      <c r="V40" s="620" t="s">
        <v>135</v>
      </c>
      <c r="W40" s="620" t="s">
        <v>135</v>
      </c>
      <c r="X40" s="620" t="s">
        <v>135</v>
      </c>
      <c r="Y40" s="600"/>
      <c r="Z40" s="182" t="str">
        <f>데이터입력!$AB$8</f>
        <v>00</v>
      </c>
      <c r="AA40" s="185" t="str">
        <f>데이터입력!$AC$9</f>
        <v>일반사업[일반]</v>
      </c>
      <c r="AB40" s="183" t="str">
        <f>IFERROR(IF(데이터입력!$AE$2="추경",VLOOKUP($A40,#REF!,4,FALSE),""),"")</f>
        <v/>
      </c>
      <c r="AC40" s="183" t="str">
        <f>IFERROR(IF(데이터입력!$AE$2="추경",VLOOKUP($A40,#REF!,5,FALSE),""),"")</f>
        <v/>
      </c>
      <c r="AD40" s="183" t="str">
        <f>IFERROR(IF(데이터입력!$AE$2="추경",VLOOKUP($A40,#REF!,6,FALSE),""),"")</f>
        <v/>
      </c>
      <c r="AE40" s="183" t="str">
        <f>IFERROR(IF(데이터입력!$AE$2="추경",VLOOKUP($A40,#REF!,7,FALSE),""),"")</f>
        <v/>
      </c>
      <c r="AF40" s="183"/>
      <c r="AG40" s="184" t="str">
        <f>IFERROR(IF(데이터입력!$AE$2="추경",VLOOKUP($A40,#REF!,9,FALSE),""),"")</f>
        <v/>
      </c>
      <c r="AH40" s="184" t="str">
        <f>IFERROR(IF(데이터입력!$AE$2="추경",VLOOKUP($A40,#REF!,10,FALSE),""),"")</f>
        <v/>
      </c>
      <c r="AI40" s="184" t="str">
        <f>IFERROR(IF(데이터입력!$AE$2="추경",VLOOKUP($A40,#REF!,11,FALSE),""),"")</f>
        <v/>
      </c>
      <c r="AJ40" s="184" t="str">
        <f>IFERROR(IF(데이터입력!$AE$2="추경",VLOOKUP($A40,#REF!,12,FALSE),""),"")</f>
        <v/>
      </c>
      <c r="AK40" s="184" t="str">
        <f>IFERROR(IF(데이터입력!$AE$2="추경",VLOOKUP($A40,#REF!,13,FALSE),""),"")</f>
        <v/>
      </c>
    </row>
    <row r="41" spans="1:37">
      <c r="A41" s="180">
        <v>39</v>
      </c>
      <c r="B41" s="608" t="str">
        <f>IFERROR(IF(F41="06",데이터입력!$AB$8,IF(F41="07",데이터입력!$AD$8,IF(F41="05",데이터입력!$AF$8,데이터입력!$AB$8))),데이터입력!$AB$8)</f>
        <v>00</v>
      </c>
      <c r="C41" s="609" t="str">
        <f>데이터입력!$AC$9</f>
        <v>일반사업[일반]</v>
      </c>
      <c r="D41" s="610" t="str">
        <f>IFERROR(IF(AND(데이터입력!$AE$2="추경",데이터입력!$AM$2=TRUE),VLOOKUP($A41,데이터입력!$A:$H,4,FALSE),""),"")</f>
        <v/>
      </c>
      <c r="E41" s="610" t="str">
        <f>IFERROR(IF(AND(데이터입력!$AE$2="추경",데이터입력!$AM$2=TRUE),VLOOKUP($A41,데이터입력!$A:$H,2,FALSE),""),"")</f>
        <v/>
      </c>
      <c r="F41" s="610" t="str">
        <f>IFERROR(IF(AND(데이터입력!$AE$2="추경",데이터입력!$AM$2=TRUE),VLOOKUP($A41,데이터입력!$A:$H,5,FALSE),""),"")</f>
        <v/>
      </c>
      <c r="G41" s="610" t="str">
        <f>IFERROR(IF(AND(데이터입력!$AE$2="추경",데이터입력!$AM$2=TRUE),VLOOKUP($A41,데이터입력!$A:$H,6,FALSE),""),"")</f>
        <v/>
      </c>
      <c r="H41" s="611" t="str">
        <f>IFERROR(IF(AND(데이터입력!$AE$2="추경",데이터입력!$AM$2=TRUE),VLOOKUP($A41,데이터입력!$A:$L,7,FALSE),""),"")</f>
        <v/>
      </c>
      <c r="I41" s="611" t="str">
        <f>IFERROR(IF(AND(데이터입력!$AE$2="추경",데이터입력!$AM$2=TRUE),VLOOKUP($A41,데이터입력!$A:$L,8,FALSE)+VLOOKUP($A41,데이터입력!$A:$L,9,FALSE)+VLOOKUP($A41,데이터입력!$A:$L,10,FALSE),""),"")</f>
        <v/>
      </c>
      <c r="J41" s="612" t="s">
        <v>135</v>
      </c>
      <c r="K41" s="612" t="s">
        <v>135</v>
      </c>
      <c r="L41" s="612" t="s">
        <v>135</v>
      </c>
      <c r="M41" s="604"/>
      <c r="N41" s="180">
        <v>239</v>
      </c>
      <c r="O41" s="616" t="str">
        <f>IFERROR(IF(S41="06",데이터입력!$AB$8,IF(S41="07",데이터입력!$AD$8,IF(S41="05",데이터입력!$AF$8,데이터입력!$AB$8))),데이터입력!$AB$8)</f>
        <v>00</v>
      </c>
      <c r="P41" s="617" t="str">
        <f>데이터입력!$AC$9</f>
        <v>일반사업[일반]</v>
      </c>
      <c r="Q41" s="618" t="str">
        <f>IFERROR(IF(데이터입력!$AE$2="추경",VLOOKUP($N41,데이터입력!$A:$H,4,FALSE),""),"")</f>
        <v/>
      </c>
      <c r="R41" s="618" t="str">
        <f>IFERROR(IF(데이터입력!$AE$2="추경",VLOOKUP($N41,데이터입력!$A:$H,2,FALSE),""),"")</f>
        <v/>
      </c>
      <c r="S41" s="618" t="str">
        <f>IFERROR(IF(데이터입력!$AE$2="추경",VLOOKUP($N41,데이터입력!$A:$H,5,FALSE),""),"")</f>
        <v/>
      </c>
      <c r="T41" s="618" t="str">
        <f>IFERROR(IF(데이터입력!$AE$2="추경",VLOOKUP($N41,데이터입력!$A:$H,6,FALSE),""),"")</f>
        <v/>
      </c>
      <c r="U41" s="619" t="str">
        <f>IFERROR(IF(데이터입력!$AE$2="추경",VLOOKUP($N41,데이터입력!$A:$L,8,FALSE)+VLOOKUP($N41,데이터입력!$A:$L,9,FALSE)+VLOOKUP($N41,데이터입력!$A:$L,10,FALSE),""),"")</f>
        <v/>
      </c>
      <c r="V41" s="620" t="s">
        <v>135</v>
      </c>
      <c r="W41" s="620" t="s">
        <v>135</v>
      </c>
      <c r="X41" s="620" t="s">
        <v>135</v>
      </c>
      <c r="Y41" s="601"/>
      <c r="Z41" s="182" t="str">
        <f>데이터입력!$AB$8</f>
        <v>00</v>
      </c>
      <c r="AA41" s="185" t="str">
        <f>데이터입력!$AC$9</f>
        <v>일반사업[일반]</v>
      </c>
      <c r="AB41" s="183" t="str">
        <f>IFERROR(IF(데이터입력!$AE$2="추경",VLOOKUP($A41,#REF!,4,FALSE),""),"")</f>
        <v/>
      </c>
      <c r="AC41" s="183" t="str">
        <f>IFERROR(IF(데이터입력!$AE$2="추경",VLOOKUP($A41,#REF!,5,FALSE),""),"")</f>
        <v/>
      </c>
      <c r="AD41" s="183" t="str">
        <f>IFERROR(IF(데이터입력!$AE$2="추경",VLOOKUP($A41,#REF!,6,FALSE),""),"")</f>
        <v/>
      </c>
      <c r="AE41" s="183" t="str">
        <f>IFERROR(IF(데이터입력!$AE$2="추경",VLOOKUP($A41,#REF!,7,FALSE),""),"")</f>
        <v/>
      </c>
      <c r="AF41" s="183"/>
      <c r="AG41" s="184" t="str">
        <f>IFERROR(IF(데이터입력!$AE$2="추경",VLOOKUP($A41,#REF!,9,FALSE),""),"")</f>
        <v/>
      </c>
      <c r="AH41" s="184" t="str">
        <f>IFERROR(IF(데이터입력!$AE$2="추경",VLOOKUP($A41,#REF!,10,FALSE),""),"")</f>
        <v/>
      </c>
      <c r="AI41" s="184" t="str">
        <f>IFERROR(IF(데이터입력!$AE$2="추경",VLOOKUP($A41,#REF!,11,FALSE),""),"")</f>
        <v/>
      </c>
      <c r="AJ41" s="184" t="str">
        <f>IFERROR(IF(데이터입력!$AE$2="추경",VLOOKUP($A41,#REF!,12,FALSE),""),"")</f>
        <v/>
      </c>
      <c r="AK41" s="184" t="str">
        <f>IFERROR(IF(데이터입력!$AE$2="추경",VLOOKUP($A41,#REF!,13,FALSE),""),"")</f>
        <v/>
      </c>
    </row>
    <row r="42" spans="1:37">
      <c r="A42" s="180">
        <v>40</v>
      </c>
      <c r="B42" s="608" t="str">
        <f>IFERROR(IF(F42="06",데이터입력!$AB$8,IF(F42="07",데이터입력!$AD$8,IF(F42="05",데이터입력!$AF$8,데이터입력!$AB$8))),데이터입력!$AB$8)</f>
        <v>00</v>
      </c>
      <c r="C42" s="609" t="str">
        <f>데이터입력!$AC$9</f>
        <v>일반사업[일반]</v>
      </c>
      <c r="D42" s="610" t="str">
        <f>IFERROR(IF(AND(데이터입력!$AE$2="추경",데이터입력!$AM$2=TRUE),VLOOKUP($A42,데이터입력!$A:$H,4,FALSE),""),"")</f>
        <v/>
      </c>
      <c r="E42" s="610" t="str">
        <f>IFERROR(IF(AND(데이터입력!$AE$2="추경",데이터입력!$AM$2=TRUE),VLOOKUP($A42,데이터입력!$A:$H,2,FALSE),""),"")</f>
        <v/>
      </c>
      <c r="F42" s="610" t="str">
        <f>IFERROR(IF(AND(데이터입력!$AE$2="추경",데이터입력!$AM$2=TRUE),VLOOKUP($A42,데이터입력!$A:$H,5,FALSE),""),"")</f>
        <v/>
      </c>
      <c r="G42" s="610" t="str">
        <f>IFERROR(IF(AND(데이터입력!$AE$2="추경",데이터입력!$AM$2=TRUE),VLOOKUP($A42,데이터입력!$A:$H,6,FALSE),""),"")</f>
        <v/>
      </c>
      <c r="H42" s="611" t="str">
        <f>IFERROR(IF(AND(데이터입력!$AE$2="추경",데이터입력!$AM$2=TRUE),VLOOKUP($A42,데이터입력!$A:$L,7,FALSE),""),"")</f>
        <v/>
      </c>
      <c r="I42" s="611" t="str">
        <f>IFERROR(IF(AND(데이터입력!$AE$2="추경",데이터입력!$AM$2=TRUE),VLOOKUP($A42,데이터입력!$A:$L,8,FALSE)+VLOOKUP($A42,데이터입력!$A:$L,9,FALSE)+VLOOKUP($A42,데이터입력!$A:$L,10,FALSE),""),"")</f>
        <v/>
      </c>
      <c r="J42" s="612" t="s">
        <v>135</v>
      </c>
      <c r="K42" s="612" t="s">
        <v>135</v>
      </c>
      <c r="L42" s="612" t="s">
        <v>135</v>
      </c>
      <c r="M42" s="604"/>
      <c r="N42" s="180">
        <v>240</v>
      </c>
      <c r="O42" s="616" t="str">
        <f>IFERROR(IF(S42="06",데이터입력!$AB$8,IF(S42="07",데이터입력!$AD$8,IF(S42="05",데이터입력!$AF$8,데이터입력!$AB$8))),데이터입력!$AB$8)</f>
        <v>00</v>
      </c>
      <c r="P42" s="617" t="str">
        <f>데이터입력!$AC$9</f>
        <v>일반사업[일반]</v>
      </c>
      <c r="Q42" s="618" t="str">
        <f>IFERROR(IF(데이터입력!$AE$2="추경",VLOOKUP($N42,데이터입력!$A:$H,4,FALSE),""),"")</f>
        <v/>
      </c>
      <c r="R42" s="618" t="str">
        <f>IFERROR(IF(데이터입력!$AE$2="추경",VLOOKUP($N42,데이터입력!$A:$H,2,FALSE),""),"")</f>
        <v/>
      </c>
      <c r="S42" s="618" t="str">
        <f>IFERROR(IF(데이터입력!$AE$2="추경",VLOOKUP($N42,데이터입력!$A:$H,5,FALSE),""),"")</f>
        <v/>
      </c>
      <c r="T42" s="618" t="str">
        <f>IFERROR(IF(데이터입력!$AE$2="추경",VLOOKUP($N42,데이터입력!$A:$H,6,FALSE),""),"")</f>
        <v/>
      </c>
      <c r="U42" s="619" t="str">
        <f>IFERROR(IF(데이터입력!$AE$2="추경",VLOOKUP($N42,데이터입력!$A:$L,8,FALSE)+VLOOKUP($N42,데이터입력!$A:$L,9,FALSE)+VLOOKUP($N42,데이터입력!$A:$L,10,FALSE),""),"")</f>
        <v/>
      </c>
      <c r="V42" s="620" t="s">
        <v>135</v>
      </c>
      <c r="W42" s="620" t="s">
        <v>135</v>
      </c>
      <c r="X42" s="620" t="s">
        <v>135</v>
      </c>
      <c r="Y42" s="600"/>
      <c r="Z42" s="182" t="str">
        <f>데이터입력!$AB$8</f>
        <v>00</v>
      </c>
      <c r="AA42" s="185" t="str">
        <f>데이터입력!$AC$9</f>
        <v>일반사업[일반]</v>
      </c>
      <c r="AB42" s="183" t="str">
        <f>IFERROR(IF(데이터입력!$AE$2="추경",VLOOKUP($A42,#REF!,4,FALSE),""),"")</f>
        <v/>
      </c>
      <c r="AC42" s="183" t="str">
        <f>IFERROR(IF(데이터입력!$AE$2="추경",VLOOKUP($A42,#REF!,5,FALSE),""),"")</f>
        <v/>
      </c>
      <c r="AD42" s="183" t="str">
        <f>IFERROR(IF(데이터입력!$AE$2="추경",VLOOKUP($A42,#REF!,6,FALSE),""),"")</f>
        <v/>
      </c>
      <c r="AE42" s="183" t="str">
        <f>IFERROR(IF(데이터입력!$AE$2="추경",VLOOKUP($A42,#REF!,7,FALSE),""),"")</f>
        <v/>
      </c>
      <c r="AF42" s="183"/>
      <c r="AG42" s="184" t="str">
        <f>IFERROR(IF(데이터입력!$AE$2="추경",VLOOKUP($A42,#REF!,9,FALSE),""),"")</f>
        <v/>
      </c>
      <c r="AH42" s="184" t="str">
        <f>IFERROR(IF(데이터입력!$AE$2="추경",VLOOKUP($A42,#REF!,10,FALSE),""),"")</f>
        <v/>
      </c>
      <c r="AI42" s="184" t="str">
        <f>IFERROR(IF(데이터입력!$AE$2="추경",VLOOKUP($A42,#REF!,11,FALSE),""),"")</f>
        <v/>
      </c>
      <c r="AJ42" s="184" t="str">
        <f>IFERROR(IF(데이터입력!$AE$2="추경",VLOOKUP($A42,#REF!,12,FALSE),""),"")</f>
        <v/>
      </c>
      <c r="AK42" s="184" t="str">
        <f>IFERROR(IF(데이터입력!$AE$2="추경",VLOOKUP($A42,#REF!,13,FALSE),""),"")</f>
        <v/>
      </c>
    </row>
    <row r="43" spans="1:37">
      <c r="A43" s="180">
        <v>41</v>
      </c>
      <c r="B43" s="608" t="str">
        <f>IFERROR(IF(F43="06",데이터입력!$AB$8,IF(F43="07",데이터입력!$AD$8,IF(F43="05",데이터입력!$AF$8,데이터입력!$AB$8))),데이터입력!$AB$8)</f>
        <v>00</v>
      </c>
      <c r="C43" s="609" t="str">
        <f>데이터입력!$AC$9</f>
        <v>일반사업[일반]</v>
      </c>
      <c r="D43" s="610" t="str">
        <f>IFERROR(IF(AND(데이터입력!$AE$2="추경",데이터입력!$AM$2=TRUE),VLOOKUP($A43,데이터입력!$A:$H,4,FALSE),""),"")</f>
        <v/>
      </c>
      <c r="E43" s="610" t="str">
        <f>IFERROR(IF(AND(데이터입력!$AE$2="추경",데이터입력!$AM$2=TRUE),VLOOKUP($A43,데이터입력!$A:$H,2,FALSE),""),"")</f>
        <v/>
      </c>
      <c r="F43" s="610" t="str">
        <f>IFERROR(IF(AND(데이터입력!$AE$2="추경",데이터입력!$AM$2=TRUE),VLOOKUP($A43,데이터입력!$A:$H,5,FALSE),""),"")</f>
        <v/>
      </c>
      <c r="G43" s="610" t="str">
        <f>IFERROR(IF(AND(데이터입력!$AE$2="추경",데이터입력!$AM$2=TRUE),VLOOKUP($A43,데이터입력!$A:$H,6,FALSE),""),"")</f>
        <v/>
      </c>
      <c r="H43" s="611" t="str">
        <f>IFERROR(IF(AND(데이터입력!$AE$2="추경",데이터입력!$AM$2=TRUE),VLOOKUP($A43,데이터입력!$A:$L,7,FALSE),""),"")</f>
        <v/>
      </c>
      <c r="I43" s="611" t="str">
        <f>IFERROR(IF(AND(데이터입력!$AE$2="추경",데이터입력!$AM$2=TRUE),VLOOKUP($A43,데이터입력!$A:$L,8,FALSE)+VLOOKUP($A43,데이터입력!$A:$L,9,FALSE)+VLOOKUP($A43,데이터입력!$A:$L,10,FALSE),""),"")</f>
        <v/>
      </c>
      <c r="J43" s="612" t="s">
        <v>135</v>
      </c>
      <c r="K43" s="612" t="s">
        <v>135</v>
      </c>
      <c r="L43" s="612" t="s">
        <v>135</v>
      </c>
      <c r="M43" s="604"/>
      <c r="N43" s="180">
        <v>241</v>
      </c>
      <c r="O43" s="616" t="str">
        <f>IFERROR(IF(S43="06",데이터입력!$AB$8,IF(S43="07",데이터입력!$AD$8,IF(S43="05",데이터입력!$AF$8,데이터입력!$AB$8))),데이터입력!$AB$8)</f>
        <v>00</v>
      </c>
      <c r="P43" s="617" t="str">
        <f>데이터입력!$AC$9</f>
        <v>일반사업[일반]</v>
      </c>
      <c r="Q43" s="618" t="str">
        <f>IFERROR(IF(데이터입력!$AE$2="추경",VLOOKUP($N43,데이터입력!$A:$H,4,FALSE),""),"")</f>
        <v/>
      </c>
      <c r="R43" s="618" t="str">
        <f>IFERROR(IF(데이터입력!$AE$2="추경",VLOOKUP($N43,데이터입력!$A:$H,2,FALSE),""),"")</f>
        <v/>
      </c>
      <c r="S43" s="618" t="str">
        <f>IFERROR(IF(데이터입력!$AE$2="추경",VLOOKUP($N43,데이터입력!$A:$H,5,FALSE),""),"")</f>
        <v/>
      </c>
      <c r="T43" s="618" t="str">
        <f>IFERROR(IF(데이터입력!$AE$2="추경",VLOOKUP($N43,데이터입력!$A:$H,6,FALSE),""),"")</f>
        <v/>
      </c>
      <c r="U43" s="619" t="str">
        <f>IFERROR(IF(데이터입력!$AE$2="추경",VLOOKUP($N43,데이터입력!$A:$L,8,FALSE)+VLOOKUP($N43,데이터입력!$A:$L,9,FALSE)+VLOOKUP($N43,데이터입력!$A:$L,10,FALSE),""),"")</f>
        <v/>
      </c>
      <c r="V43" s="620" t="s">
        <v>135</v>
      </c>
      <c r="W43" s="620" t="s">
        <v>135</v>
      </c>
      <c r="X43" s="620" t="s">
        <v>135</v>
      </c>
      <c r="Y43" s="601"/>
      <c r="Z43" s="182" t="str">
        <f>데이터입력!$AB$8</f>
        <v>00</v>
      </c>
      <c r="AA43" s="185" t="str">
        <f>데이터입력!$AC$9</f>
        <v>일반사업[일반]</v>
      </c>
      <c r="AB43" s="183" t="str">
        <f>IFERROR(IF(데이터입력!$AE$2="추경",VLOOKUP($A43,#REF!,4,FALSE),""),"")</f>
        <v/>
      </c>
      <c r="AC43" s="183" t="str">
        <f>IFERROR(IF(데이터입력!$AE$2="추경",VLOOKUP($A43,#REF!,5,FALSE),""),"")</f>
        <v/>
      </c>
      <c r="AD43" s="183" t="str">
        <f>IFERROR(IF(데이터입력!$AE$2="추경",VLOOKUP($A43,#REF!,6,FALSE),""),"")</f>
        <v/>
      </c>
      <c r="AE43" s="183" t="str">
        <f>IFERROR(IF(데이터입력!$AE$2="추경",VLOOKUP($A43,#REF!,7,FALSE),""),"")</f>
        <v/>
      </c>
      <c r="AF43" s="183"/>
      <c r="AG43" s="184" t="str">
        <f>IFERROR(IF(데이터입력!$AE$2="추경",VLOOKUP($A43,#REF!,9,FALSE),""),"")</f>
        <v/>
      </c>
      <c r="AH43" s="184" t="str">
        <f>IFERROR(IF(데이터입력!$AE$2="추경",VLOOKUP($A43,#REF!,10,FALSE),""),"")</f>
        <v/>
      </c>
      <c r="AI43" s="184" t="str">
        <f>IFERROR(IF(데이터입력!$AE$2="추경",VLOOKUP($A43,#REF!,11,FALSE),""),"")</f>
        <v/>
      </c>
      <c r="AJ43" s="184" t="str">
        <f>IFERROR(IF(데이터입력!$AE$2="추경",VLOOKUP($A43,#REF!,12,FALSE),""),"")</f>
        <v/>
      </c>
      <c r="AK43" s="184" t="str">
        <f>IFERROR(IF(데이터입력!$AE$2="추경",VLOOKUP($A43,#REF!,13,FALSE),""),"")</f>
        <v/>
      </c>
    </row>
    <row r="44" spans="1:37">
      <c r="A44" s="180">
        <v>42</v>
      </c>
      <c r="B44" s="608" t="str">
        <f>IFERROR(IF(F44="06",데이터입력!$AB$8,IF(F44="07",데이터입력!$AD$8,IF(F44="05",데이터입력!$AF$8,데이터입력!$AB$8))),데이터입력!$AB$8)</f>
        <v>00</v>
      </c>
      <c r="C44" s="609" t="str">
        <f>데이터입력!$AC$9</f>
        <v>일반사업[일반]</v>
      </c>
      <c r="D44" s="610" t="str">
        <f>IFERROR(IF(AND(데이터입력!$AE$2="추경",데이터입력!$AM$2=TRUE),VLOOKUP($A44,데이터입력!$A:$H,4,FALSE),""),"")</f>
        <v/>
      </c>
      <c r="E44" s="610" t="str">
        <f>IFERROR(IF(AND(데이터입력!$AE$2="추경",데이터입력!$AM$2=TRUE),VLOOKUP($A44,데이터입력!$A:$H,2,FALSE),""),"")</f>
        <v/>
      </c>
      <c r="F44" s="610" t="str">
        <f>IFERROR(IF(AND(데이터입력!$AE$2="추경",데이터입력!$AM$2=TRUE),VLOOKUP($A44,데이터입력!$A:$H,5,FALSE),""),"")</f>
        <v/>
      </c>
      <c r="G44" s="610" t="str">
        <f>IFERROR(IF(AND(데이터입력!$AE$2="추경",데이터입력!$AM$2=TRUE),VLOOKUP($A44,데이터입력!$A:$H,6,FALSE),""),"")</f>
        <v/>
      </c>
      <c r="H44" s="611" t="str">
        <f>IFERROR(IF(AND(데이터입력!$AE$2="추경",데이터입력!$AM$2=TRUE),VLOOKUP($A44,데이터입력!$A:$L,7,FALSE),""),"")</f>
        <v/>
      </c>
      <c r="I44" s="611" t="str">
        <f>IFERROR(IF(AND(데이터입력!$AE$2="추경",데이터입력!$AM$2=TRUE),VLOOKUP($A44,데이터입력!$A:$L,8,FALSE)+VLOOKUP($A44,데이터입력!$A:$L,9,FALSE)+VLOOKUP($A44,데이터입력!$A:$L,10,FALSE),""),"")</f>
        <v/>
      </c>
      <c r="J44" s="612" t="s">
        <v>135</v>
      </c>
      <c r="K44" s="612" t="s">
        <v>135</v>
      </c>
      <c r="L44" s="612" t="s">
        <v>135</v>
      </c>
      <c r="M44" s="604"/>
      <c r="N44" s="180">
        <v>242</v>
      </c>
      <c r="O44" s="616" t="str">
        <f>IFERROR(IF(S44="06",데이터입력!$AB$8,IF(S44="07",데이터입력!$AD$8,IF(S44="05",데이터입력!$AF$8,데이터입력!$AB$8))),데이터입력!$AB$8)</f>
        <v>00</v>
      </c>
      <c r="P44" s="617" t="str">
        <f>데이터입력!$AC$9</f>
        <v>일반사업[일반]</v>
      </c>
      <c r="Q44" s="618" t="str">
        <f>IFERROR(IF(데이터입력!$AE$2="추경",VLOOKUP($N44,데이터입력!$A:$H,4,FALSE),""),"")</f>
        <v/>
      </c>
      <c r="R44" s="618" t="str">
        <f>IFERROR(IF(데이터입력!$AE$2="추경",VLOOKUP($N44,데이터입력!$A:$H,2,FALSE),""),"")</f>
        <v/>
      </c>
      <c r="S44" s="618" t="str">
        <f>IFERROR(IF(데이터입력!$AE$2="추경",VLOOKUP($N44,데이터입력!$A:$H,5,FALSE),""),"")</f>
        <v/>
      </c>
      <c r="T44" s="618" t="str">
        <f>IFERROR(IF(데이터입력!$AE$2="추경",VLOOKUP($N44,데이터입력!$A:$H,6,FALSE),""),"")</f>
        <v/>
      </c>
      <c r="U44" s="619" t="str">
        <f>IFERROR(IF(데이터입력!$AE$2="추경",VLOOKUP($N44,데이터입력!$A:$L,8,FALSE)+VLOOKUP($N44,데이터입력!$A:$L,9,FALSE)+VLOOKUP($N44,데이터입력!$A:$L,10,FALSE),""),"")</f>
        <v/>
      </c>
      <c r="V44" s="620" t="s">
        <v>135</v>
      </c>
      <c r="W44" s="620" t="s">
        <v>135</v>
      </c>
      <c r="X44" s="620" t="s">
        <v>135</v>
      </c>
      <c r="Y44" s="600"/>
      <c r="Z44" s="182" t="str">
        <f>데이터입력!$AB$8</f>
        <v>00</v>
      </c>
      <c r="AA44" s="185" t="str">
        <f>데이터입력!$AC$9</f>
        <v>일반사업[일반]</v>
      </c>
      <c r="AB44" s="183" t="str">
        <f>IFERROR(IF(데이터입력!$AE$2="추경",VLOOKUP($A44,#REF!,4,FALSE),""),"")</f>
        <v/>
      </c>
      <c r="AC44" s="183" t="str">
        <f>IFERROR(IF(데이터입력!$AE$2="추경",VLOOKUP($A44,#REF!,5,FALSE),""),"")</f>
        <v/>
      </c>
      <c r="AD44" s="183" t="str">
        <f>IFERROR(IF(데이터입력!$AE$2="추경",VLOOKUP($A44,#REF!,6,FALSE),""),"")</f>
        <v/>
      </c>
      <c r="AE44" s="183" t="str">
        <f>IFERROR(IF(데이터입력!$AE$2="추경",VLOOKUP($A44,#REF!,7,FALSE),""),"")</f>
        <v/>
      </c>
      <c r="AF44" s="183"/>
      <c r="AG44" s="184" t="str">
        <f>IFERROR(IF(데이터입력!$AE$2="추경",VLOOKUP($A44,#REF!,9,FALSE),""),"")</f>
        <v/>
      </c>
      <c r="AH44" s="184" t="str">
        <f>IFERROR(IF(데이터입력!$AE$2="추경",VLOOKUP($A44,#REF!,10,FALSE),""),"")</f>
        <v/>
      </c>
      <c r="AI44" s="184" t="str">
        <f>IFERROR(IF(데이터입력!$AE$2="추경",VLOOKUP($A44,#REF!,11,FALSE),""),"")</f>
        <v/>
      </c>
      <c r="AJ44" s="184" t="str">
        <f>IFERROR(IF(데이터입력!$AE$2="추경",VLOOKUP($A44,#REF!,12,FALSE),""),"")</f>
        <v/>
      </c>
      <c r="AK44" s="184" t="str">
        <f>IFERROR(IF(데이터입력!$AE$2="추경",VLOOKUP($A44,#REF!,13,FALSE),""),"")</f>
        <v/>
      </c>
    </row>
    <row r="45" spans="1:37">
      <c r="A45" s="180">
        <v>43</v>
      </c>
      <c r="B45" s="608" t="str">
        <f>IFERROR(IF(F45="06",데이터입력!$AB$8,IF(F45="07",데이터입력!$AD$8,IF(F45="05",데이터입력!$AF$8,데이터입력!$AB$8))),데이터입력!$AB$8)</f>
        <v>00</v>
      </c>
      <c r="C45" s="609" t="str">
        <f>데이터입력!$AC$9</f>
        <v>일반사업[일반]</v>
      </c>
      <c r="D45" s="610" t="str">
        <f>IFERROR(IF(AND(데이터입력!$AE$2="추경",데이터입력!$AM$2=TRUE),VLOOKUP($A45,데이터입력!$A:$H,4,FALSE),""),"")</f>
        <v/>
      </c>
      <c r="E45" s="610" t="str">
        <f>IFERROR(IF(AND(데이터입력!$AE$2="추경",데이터입력!$AM$2=TRUE),VLOOKUP($A45,데이터입력!$A:$H,2,FALSE),""),"")</f>
        <v/>
      </c>
      <c r="F45" s="610" t="str">
        <f>IFERROR(IF(AND(데이터입력!$AE$2="추경",데이터입력!$AM$2=TRUE),VLOOKUP($A45,데이터입력!$A:$H,5,FALSE),""),"")</f>
        <v/>
      </c>
      <c r="G45" s="610" t="str">
        <f>IFERROR(IF(AND(데이터입력!$AE$2="추경",데이터입력!$AM$2=TRUE),VLOOKUP($A45,데이터입력!$A:$H,6,FALSE),""),"")</f>
        <v/>
      </c>
      <c r="H45" s="611" t="str">
        <f>IFERROR(IF(AND(데이터입력!$AE$2="추경",데이터입력!$AM$2=TRUE),VLOOKUP($A45,데이터입력!$A:$L,7,FALSE),""),"")</f>
        <v/>
      </c>
      <c r="I45" s="611" t="str">
        <f>IFERROR(IF(AND(데이터입력!$AE$2="추경",데이터입력!$AM$2=TRUE),VLOOKUP($A45,데이터입력!$A:$L,8,FALSE)+VLOOKUP($A45,데이터입력!$A:$L,9,FALSE)+VLOOKUP($A45,데이터입력!$A:$L,10,FALSE),""),"")</f>
        <v/>
      </c>
      <c r="J45" s="612" t="s">
        <v>135</v>
      </c>
      <c r="K45" s="612" t="s">
        <v>135</v>
      </c>
      <c r="L45" s="612" t="s">
        <v>135</v>
      </c>
      <c r="M45" s="604"/>
      <c r="N45" s="180">
        <v>243</v>
      </c>
      <c r="O45" s="616" t="str">
        <f>IFERROR(IF(S45="06",데이터입력!$AB$8,IF(S45="07",데이터입력!$AD$8,IF(S45="05",데이터입력!$AF$8,데이터입력!$AB$8))),데이터입력!$AB$8)</f>
        <v>00</v>
      </c>
      <c r="P45" s="617" t="str">
        <f>데이터입력!$AC$9</f>
        <v>일반사업[일반]</v>
      </c>
      <c r="Q45" s="618" t="str">
        <f>IFERROR(IF(데이터입력!$AE$2="추경",VLOOKUP($N45,데이터입력!$A:$H,4,FALSE),""),"")</f>
        <v/>
      </c>
      <c r="R45" s="618" t="str">
        <f>IFERROR(IF(데이터입력!$AE$2="추경",VLOOKUP($N45,데이터입력!$A:$H,2,FALSE),""),"")</f>
        <v/>
      </c>
      <c r="S45" s="618" t="str">
        <f>IFERROR(IF(데이터입력!$AE$2="추경",VLOOKUP($N45,데이터입력!$A:$H,5,FALSE),""),"")</f>
        <v/>
      </c>
      <c r="T45" s="618" t="str">
        <f>IFERROR(IF(데이터입력!$AE$2="추경",VLOOKUP($N45,데이터입력!$A:$H,6,FALSE),""),"")</f>
        <v/>
      </c>
      <c r="U45" s="619" t="str">
        <f>IFERROR(IF(데이터입력!$AE$2="추경",VLOOKUP($N45,데이터입력!$A:$L,8,FALSE)+VLOOKUP($N45,데이터입력!$A:$L,9,FALSE)+VLOOKUP($N45,데이터입력!$A:$L,10,FALSE),""),"")</f>
        <v/>
      </c>
      <c r="V45" s="620" t="s">
        <v>135</v>
      </c>
      <c r="W45" s="620" t="s">
        <v>135</v>
      </c>
      <c r="X45" s="620" t="s">
        <v>135</v>
      </c>
      <c r="Y45" s="601"/>
      <c r="Z45" s="182" t="str">
        <f>데이터입력!$AB$8</f>
        <v>00</v>
      </c>
      <c r="AA45" s="185" t="str">
        <f>데이터입력!$AC$9</f>
        <v>일반사업[일반]</v>
      </c>
      <c r="AB45" s="183" t="str">
        <f>IFERROR(IF(데이터입력!$AE$2="추경",VLOOKUP($A45,#REF!,4,FALSE),""),"")</f>
        <v/>
      </c>
      <c r="AC45" s="183" t="str">
        <f>IFERROR(IF(데이터입력!$AE$2="추경",VLOOKUP($A45,#REF!,5,FALSE),""),"")</f>
        <v/>
      </c>
      <c r="AD45" s="183" t="str">
        <f>IFERROR(IF(데이터입력!$AE$2="추경",VLOOKUP($A45,#REF!,6,FALSE),""),"")</f>
        <v/>
      </c>
      <c r="AE45" s="183" t="str">
        <f>IFERROR(IF(데이터입력!$AE$2="추경",VLOOKUP($A45,#REF!,7,FALSE),""),"")</f>
        <v/>
      </c>
      <c r="AF45" s="183"/>
      <c r="AG45" s="184" t="str">
        <f>IFERROR(IF(데이터입력!$AE$2="추경",VLOOKUP($A45,#REF!,9,FALSE),""),"")</f>
        <v/>
      </c>
      <c r="AH45" s="184" t="str">
        <f>IFERROR(IF(데이터입력!$AE$2="추경",VLOOKUP($A45,#REF!,10,FALSE),""),"")</f>
        <v/>
      </c>
      <c r="AI45" s="184" t="str">
        <f>IFERROR(IF(데이터입력!$AE$2="추경",VLOOKUP($A45,#REF!,11,FALSE),""),"")</f>
        <v/>
      </c>
      <c r="AJ45" s="184" t="str">
        <f>IFERROR(IF(데이터입력!$AE$2="추경",VLOOKUP($A45,#REF!,12,FALSE),""),"")</f>
        <v/>
      </c>
      <c r="AK45" s="184" t="str">
        <f>IFERROR(IF(데이터입력!$AE$2="추경",VLOOKUP($A45,#REF!,13,FALSE),""),"")</f>
        <v/>
      </c>
    </row>
    <row r="46" spans="1:37">
      <c r="A46" s="180">
        <v>44</v>
      </c>
      <c r="B46" s="608" t="str">
        <f>IFERROR(IF(F46="06",데이터입력!$AB$8,IF(F46="07",데이터입력!$AD$8,IF(F46="05",데이터입력!$AF$8,데이터입력!$AB$8))),데이터입력!$AB$8)</f>
        <v>00</v>
      </c>
      <c r="C46" s="609" t="str">
        <f>데이터입력!$AC$9</f>
        <v>일반사업[일반]</v>
      </c>
      <c r="D46" s="610" t="str">
        <f>IFERROR(IF(AND(데이터입력!$AE$2="추경",데이터입력!$AM$2=TRUE),VLOOKUP($A46,데이터입력!$A:$H,4,FALSE),""),"")</f>
        <v/>
      </c>
      <c r="E46" s="610" t="str">
        <f>IFERROR(IF(AND(데이터입력!$AE$2="추경",데이터입력!$AM$2=TRUE),VLOOKUP($A46,데이터입력!$A:$H,2,FALSE),""),"")</f>
        <v/>
      </c>
      <c r="F46" s="610" t="str">
        <f>IFERROR(IF(AND(데이터입력!$AE$2="추경",데이터입력!$AM$2=TRUE),VLOOKUP($A46,데이터입력!$A:$H,5,FALSE),""),"")</f>
        <v/>
      </c>
      <c r="G46" s="610" t="str">
        <f>IFERROR(IF(AND(데이터입력!$AE$2="추경",데이터입력!$AM$2=TRUE),VLOOKUP($A46,데이터입력!$A:$H,6,FALSE),""),"")</f>
        <v/>
      </c>
      <c r="H46" s="611" t="str">
        <f>IFERROR(IF(AND(데이터입력!$AE$2="추경",데이터입력!$AM$2=TRUE),VLOOKUP($A46,데이터입력!$A:$L,7,FALSE),""),"")</f>
        <v/>
      </c>
      <c r="I46" s="611" t="str">
        <f>IFERROR(IF(AND(데이터입력!$AE$2="추경",데이터입력!$AM$2=TRUE),VLOOKUP($A46,데이터입력!$A:$L,8,FALSE)+VLOOKUP($A46,데이터입력!$A:$L,9,FALSE)+VLOOKUP($A46,데이터입력!$A:$L,10,FALSE),""),"")</f>
        <v/>
      </c>
      <c r="J46" s="612" t="s">
        <v>135</v>
      </c>
      <c r="K46" s="612" t="s">
        <v>135</v>
      </c>
      <c r="L46" s="612" t="s">
        <v>135</v>
      </c>
      <c r="M46" s="604"/>
      <c r="N46" s="180">
        <v>244</v>
      </c>
      <c r="O46" s="616" t="str">
        <f>IFERROR(IF(S46="06",데이터입력!$AB$8,IF(S46="07",데이터입력!$AD$8,IF(S46="05",데이터입력!$AF$8,데이터입력!$AB$8))),데이터입력!$AB$8)</f>
        <v>00</v>
      </c>
      <c r="P46" s="617" t="str">
        <f>데이터입력!$AC$9</f>
        <v>일반사업[일반]</v>
      </c>
      <c r="Q46" s="618" t="str">
        <f>IFERROR(IF(데이터입력!$AE$2="추경",VLOOKUP($N46,데이터입력!$A:$H,4,FALSE),""),"")</f>
        <v/>
      </c>
      <c r="R46" s="618" t="str">
        <f>IFERROR(IF(데이터입력!$AE$2="추경",VLOOKUP($N46,데이터입력!$A:$H,2,FALSE),""),"")</f>
        <v/>
      </c>
      <c r="S46" s="618" t="str">
        <f>IFERROR(IF(데이터입력!$AE$2="추경",VLOOKUP($N46,데이터입력!$A:$H,5,FALSE),""),"")</f>
        <v/>
      </c>
      <c r="T46" s="618" t="str">
        <f>IFERROR(IF(데이터입력!$AE$2="추경",VLOOKUP($N46,데이터입력!$A:$H,6,FALSE),""),"")</f>
        <v/>
      </c>
      <c r="U46" s="619" t="str">
        <f>IFERROR(IF(데이터입력!$AE$2="추경",VLOOKUP($N46,데이터입력!$A:$L,8,FALSE)+VLOOKUP($N46,데이터입력!$A:$L,9,FALSE)+VLOOKUP($N46,데이터입력!$A:$L,10,FALSE),""),"")</f>
        <v/>
      </c>
      <c r="V46" s="620" t="s">
        <v>135</v>
      </c>
      <c r="W46" s="620" t="s">
        <v>135</v>
      </c>
      <c r="X46" s="620" t="s">
        <v>135</v>
      </c>
      <c r="Y46" s="600"/>
      <c r="Z46" s="182" t="str">
        <f>데이터입력!$AB$8</f>
        <v>00</v>
      </c>
      <c r="AA46" s="185" t="str">
        <f>데이터입력!$AC$9</f>
        <v>일반사업[일반]</v>
      </c>
      <c r="AB46" s="183" t="str">
        <f>IFERROR(IF(데이터입력!$AE$2="추경",VLOOKUP($A46,#REF!,4,FALSE),""),"")</f>
        <v/>
      </c>
      <c r="AC46" s="183" t="str">
        <f>IFERROR(IF(데이터입력!$AE$2="추경",VLOOKUP($A46,#REF!,5,FALSE),""),"")</f>
        <v/>
      </c>
      <c r="AD46" s="183" t="str">
        <f>IFERROR(IF(데이터입력!$AE$2="추경",VLOOKUP($A46,#REF!,6,FALSE),""),"")</f>
        <v/>
      </c>
      <c r="AE46" s="183" t="str">
        <f>IFERROR(IF(데이터입력!$AE$2="추경",VLOOKUP($A46,#REF!,7,FALSE),""),"")</f>
        <v/>
      </c>
      <c r="AF46" s="183"/>
      <c r="AG46" s="184" t="str">
        <f>IFERROR(IF(데이터입력!$AE$2="추경",VLOOKUP($A46,#REF!,9,FALSE),""),"")</f>
        <v/>
      </c>
      <c r="AH46" s="184" t="str">
        <f>IFERROR(IF(데이터입력!$AE$2="추경",VLOOKUP($A46,#REF!,10,FALSE),""),"")</f>
        <v/>
      </c>
      <c r="AI46" s="184" t="str">
        <f>IFERROR(IF(데이터입력!$AE$2="추경",VLOOKUP($A46,#REF!,11,FALSE),""),"")</f>
        <v/>
      </c>
      <c r="AJ46" s="184" t="str">
        <f>IFERROR(IF(데이터입력!$AE$2="추경",VLOOKUP($A46,#REF!,12,FALSE),""),"")</f>
        <v/>
      </c>
      <c r="AK46" s="184" t="str">
        <f>IFERROR(IF(데이터입력!$AE$2="추경",VLOOKUP($A46,#REF!,13,FALSE),""),"")</f>
        <v/>
      </c>
    </row>
    <row r="47" spans="1:37">
      <c r="A47" s="180">
        <v>45</v>
      </c>
      <c r="B47" s="608" t="str">
        <f>IFERROR(IF(F47="06",데이터입력!$AB$8,IF(F47="07",데이터입력!$AD$8,IF(F47="05",데이터입력!$AF$8,데이터입력!$AB$8))),데이터입력!$AB$8)</f>
        <v>00</v>
      </c>
      <c r="C47" s="609" t="str">
        <f>데이터입력!$AC$9</f>
        <v>일반사업[일반]</v>
      </c>
      <c r="D47" s="610" t="str">
        <f>IFERROR(IF(AND(데이터입력!$AE$2="추경",데이터입력!$AM$2=TRUE),VLOOKUP($A47,데이터입력!$A:$H,4,FALSE),""),"")</f>
        <v/>
      </c>
      <c r="E47" s="610" t="str">
        <f>IFERROR(IF(AND(데이터입력!$AE$2="추경",데이터입력!$AM$2=TRUE),VLOOKUP($A47,데이터입력!$A:$H,2,FALSE),""),"")</f>
        <v/>
      </c>
      <c r="F47" s="610" t="str">
        <f>IFERROR(IF(AND(데이터입력!$AE$2="추경",데이터입력!$AM$2=TRUE),VLOOKUP($A47,데이터입력!$A:$H,5,FALSE),""),"")</f>
        <v/>
      </c>
      <c r="G47" s="610" t="str">
        <f>IFERROR(IF(AND(데이터입력!$AE$2="추경",데이터입력!$AM$2=TRUE),VLOOKUP($A47,데이터입력!$A:$H,6,FALSE),""),"")</f>
        <v/>
      </c>
      <c r="H47" s="611" t="str">
        <f>IFERROR(IF(AND(데이터입력!$AE$2="추경",데이터입력!$AM$2=TRUE),VLOOKUP($A47,데이터입력!$A:$L,7,FALSE),""),"")</f>
        <v/>
      </c>
      <c r="I47" s="611" t="str">
        <f>IFERROR(IF(AND(데이터입력!$AE$2="추경",데이터입력!$AM$2=TRUE),VLOOKUP($A47,데이터입력!$A:$L,8,FALSE)+VLOOKUP($A47,데이터입력!$A:$L,9,FALSE)+VLOOKUP($A47,데이터입력!$A:$L,10,FALSE),""),"")</f>
        <v/>
      </c>
      <c r="J47" s="612" t="s">
        <v>135</v>
      </c>
      <c r="K47" s="612" t="s">
        <v>135</v>
      </c>
      <c r="L47" s="612" t="s">
        <v>135</v>
      </c>
      <c r="M47" s="604"/>
      <c r="N47" s="180">
        <v>245</v>
      </c>
      <c r="O47" s="616" t="str">
        <f>IFERROR(IF(S47="06",데이터입력!$AB$8,IF(S47="07",데이터입력!$AD$8,IF(S47="05",데이터입력!$AF$8,데이터입력!$AB$8))),데이터입력!$AB$8)</f>
        <v>00</v>
      </c>
      <c r="P47" s="617" t="str">
        <f>데이터입력!$AC$9</f>
        <v>일반사업[일반]</v>
      </c>
      <c r="Q47" s="618" t="str">
        <f>IFERROR(IF(데이터입력!$AE$2="추경",VLOOKUP($N47,데이터입력!$A:$H,4,FALSE),""),"")</f>
        <v/>
      </c>
      <c r="R47" s="618" t="str">
        <f>IFERROR(IF(데이터입력!$AE$2="추경",VLOOKUP($N47,데이터입력!$A:$H,2,FALSE),""),"")</f>
        <v/>
      </c>
      <c r="S47" s="618" t="str">
        <f>IFERROR(IF(데이터입력!$AE$2="추경",VLOOKUP($N47,데이터입력!$A:$H,5,FALSE),""),"")</f>
        <v/>
      </c>
      <c r="T47" s="618" t="str">
        <f>IFERROR(IF(데이터입력!$AE$2="추경",VLOOKUP($N47,데이터입력!$A:$H,6,FALSE),""),"")</f>
        <v/>
      </c>
      <c r="U47" s="619" t="str">
        <f>IFERROR(IF(데이터입력!$AE$2="추경",VLOOKUP($N47,데이터입력!$A:$L,8,FALSE)+VLOOKUP($N47,데이터입력!$A:$L,9,FALSE)+VLOOKUP($N47,데이터입력!$A:$L,10,FALSE),""),"")</f>
        <v/>
      </c>
      <c r="V47" s="620" t="s">
        <v>135</v>
      </c>
      <c r="W47" s="620" t="s">
        <v>135</v>
      </c>
      <c r="X47" s="620" t="s">
        <v>135</v>
      </c>
      <c r="Y47" s="601"/>
      <c r="Z47" s="182" t="str">
        <f>데이터입력!$AB$8</f>
        <v>00</v>
      </c>
      <c r="AA47" s="185" t="str">
        <f>데이터입력!$AC$9</f>
        <v>일반사업[일반]</v>
      </c>
      <c r="AB47" s="183" t="str">
        <f>IFERROR(IF(데이터입력!$AE$2="추경",VLOOKUP($A47,#REF!,4,FALSE),""),"")</f>
        <v/>
      </c>
      <c r="AC47" s="183" t="str">
        <f>IFERROR(IF(데이터입력!$AE$2="추경",VLOOKUP($A47,#REF!,5,FALSE),""),"")</f>
        <v/>
      </c>
      <c r="AD47" s="183" t="str">
        <f>IFERROR(IF(데이터입력!$AE$2="추경",VLOOKUP($A47,#REF!,6,FALSE),""),"")</f>
        <v/>
      </c>
      <c r="AE47" s="183" t="str">
        <f>IFERROR(IF(데이터입력!$AE$2="추경",VLOOKUP($A47,#REF!,7,FALSE),""),"")</f>
        <v/>
      </c>
      <c r="AF47" s="183"/>
      <c r="AG47" s="184" t="str">
        <f>IFERROR(IF(데이터입력!$AE$2="추경",VLOOKUP($A47,#REF!,9,FALSE),""),"")</f>
        <v/>
      </c>
      <c r="AH47" s="184" t="str">
        <f>IFERROR(IF(데이터입력!$AE$2="추경",VLOOKUP($A47,#REF!,10,FALSE),""),"")</f>
        <v/>
      </c>
      <c r="AI47" s="184" t="str">
        <f>IFERROR(IF(데이터입력!$AE$2="추경",VLOOKUP($A47,#REF!,11,FALSE),""),"")</f>
        <v/>
      </c>
      <c r="AJ47" s="184" t="str">
        <f>IFERROR(IF(데이터입력!$AE$2="추경",VLOOKUP($A47,#REF!,12,FALSE),""),"")</f>
        <v/>
      </c>
      <c r="AK47" s="184" t="str">
        <f>IFERROR(IF(데이터입력!$AE$2="추경",VLOOKUP($A47,#REF!,13,FALSE),""),"")</f>
        <v/>
      </c>
    </row>
    <row r="48" spans="1:37">
      <c r="A48" s="180">
        <v>46</v>
      </c>
      <c r="B48" s="608" t="str">
        <f>IFERROR(IF(F48="06",데이터입력!$AB$8,IF(F48="07",데이터입력!$AD$8,IF(F48="05",데이터입력!$AF$8,데이터입력!$AB$8))),데이터입력!$AB$8)</f>
        <v>00</v>
      </c>
      <c r="C48" s="609" t="str">
        <f>데이터입력!$AC$9</f>
        <v>일반사업[일반]</v>
      </c>
      <c r="D48" s="610" t="str">
        <f>IFERROR(IF(AND(데이터입력!$AE$2="추경",데이터입력!$AM$2=TRUE),VLOOKUP($A48,데이터입력!$A:$H,4,FALSE),""),"")</f>
        <v/>
      </c>
      <c r="E48" s="610" t="str">
        <f>IFERROR(IF(AND(데이터입력!$AE$2="추경",데이터입력!$AM$2=TRUE),VLOOKUP($A48,데이터입력!$A:$H,2,FALSE),""),"")</f>
        <v/>
      </c>
      <c r="F48" s="610" t="str">
        <f>IFERROR(IF(AND(데이터입력!$AE$2="추경",데이터입력!$AM$2=TRUE),VLOOKUP($A48,데이터입력!$A:$H,5,FALSE),""),"")</f>
        <v/>
      </c>
      <c r="G48" s="610" t="str">
        <f>IFERROR(IF(AND(데이터입력!$AE$2="추경",데이터입력!$AM$2=TRUE),VLOOKUP($A48,데이터입력!$A:$H,6,FALSE),""),"")</f>
        <v/>
      </c>
      <c r="H48" s="611" t="str">
        <f>IFERROR(IF(AND(데이터입력!$AE$2="추경",데이터입력!$AM$2=TRUE),VLOOKUP($A48,데이터입력!$A:$L,7,FALSE),""),"")</f>
        <v/>
      </c>
      <c r="I48" s="611" t="str">
        <f>IFERROR(IF(AND(데이터입력!$AE$2="추경",데이터입력!$AM$2=TRUE),VLOOKUP($A48,데이터입력!$A:$L,8,FALSE)+VLOOKUP($A48,데이터입력!$A:$L,9,FALSE)+VLOOKUP($A48,데이터입력!$A:$L,10,FALSE),""),"")</f>
        <v/>
      </c>
      <c r="J48" s="612" t="s">
        <v>135</v>
      </c>
      <c r="K48" s="612" t="s">
        <v>135</v>
      </c>
      <c r="L48" s="612" t="s">
        <v>135</v>
      </c>
      <c r="M48" s="604"/>
      <c r="N48" s="180">
        <v>246</v>
      </c>
      <c r="O48" s="616" t="str">
        <f>IFERROR(IF(S48="06",데이터입력!$AB$8,IF(S48="07",데이터입력!$AD$8,IF(S48="05",데이터입력!$AF$8,데이터입력!$AB$8))),데이터입력!$AB$8)</f>
        <v>00</v>
      </c>
      <c r="P48" s="617" t="str">
        <f>데이터입력!$AC$9</f>
        <v>일반사업[일반]</v>
      </c>
      <c r="Q48" s="618" t="str">
        <f>IFERROR(IF(데이터입력!$AE$2="추경",VLOOKUP($N48,데이터입력!$A:$H,4,FALSE),""),"")</f>
        <v/>
      </c>
      <c r="R48" s="618" t="str">
        <f>IFERROR(IF(데이터입력!$AE$2="추경",VLOOKUP($N48,데이터입력!$A:$H,2,FALSE),""),"")</f>
        <v/>
      </c>
      <c r="S48" s="618" t="str">
        <f>IFERROR(IF(데이터입력!$AE$2="추경",VLOOKUP($N48,데이터입력!$A:$H,5,FALSE),""),"")</f>
        <v/>
      </c>
      <c r="T48" s="618" t="str">
        <f>IFERROR(IF(데이터입력!$AE$2="추경",VLOOKUP($N48,데이터입력!$A:$H,6,FALSE),""),"")</f>
        <v/>
      </c>
      <c r="U48" s="619" t="str">
        <f>IFERROR(IF(데이터입력!$AE$2="추경",VLOOKUP($N48,데이터입력!$A:$L,8,FALSE)+VLOOKUP($N48,데이터입력!$A:$L,9,FALSE)+VLOOKUP($N48,데이터입력!$A:$L,10,FALSE),""),"")</f>
        <v/>
      </c>
      <c r="V48" s="620" t="s">
        <v>135</v>
      </c>
      <c r="W48" s="620" t="s">
        <v>135</v>
      </c>
      <c r="X48" s="620" t="s">
        <v>135</v>
      </c>
      <c r="Y48" s="600"/>
      <c r="Z48" s="182" t="str">
        <f>데이터입력!$AB$8</f>
        <v>00</v>
      </c>
      <c r="AA48" s="185" t="str">
        <f>데이터입력!$AC$9</f>
        <v>일반사업[일반]</v>
      </c>
      <c r="AB48" s="183" t="str">
        <f>IFERROR(IF(데이터입력!$AE$2="추경",VLOOKUP($A48,#REF!,4,FALSE),""),"")</f>
        <v/>
      </c>
      <c r="AC48" s="183" t="str">
        <f>IFERROR(IF(데이터입력!$AE$2="추경",VLOOKUP($A48,#REF!,5,FALSE),""),"")</f>
        <v/>
      </c>
      <c r="AD48" s="183" t="str">
        <f>IFERROR(IF(데이터입력!$AE$2="추경",VLOOKUP($A48,#REF!,6,FALSE),""),"")</f>
        <v/>
      </c>
      <c r="AE48" s="183" t="str">
        <f>IFERROR(IF(데이터입력!$AE$2="추경",VLOOKUP($A48,#REF!,7,FALSE),""),"")</f>
        <v/>
      </c>
      <c r="AF48" s="183"/>
      <c r="AG48" s="184" t="str">
        <f>IFERROR(IF(데이터입력!$AE$2="추경",VLOOKUP($A48,#REF!,9,FALSE),""),"")</f>
        <v/>
      </c>
      <c r="AH48" s="184" t="str">
        <f>IFERROR(IF(데이터입력!$AE$2="추경",VLOOKUP($A48,#REF!,10,FALSE),""),"")</f>
        <v/>
      </c>
      <c r="AI48" s="184" t="str">
        <f>IFERROR(IF(데이터입력!$AE$2="추경",VLOOKUP($A48,#REF!,11,FALSE),""),"")</f>
        <v/>
      </c>
      <c r="AJ48" s="184" t="str">
        <f>IFERROR(IF(데이터입력!$AE$2="추경",VLOOKUP($A48,#REF!,12,FALSE),""),"")</f>
        <v/>
      </c>
      <c r="AK48" s="184" t="str">
        <f>IFERROR(IF(데이터입력!$AE$2="추경",VLOOKUP($A48,#REF!,13,FALSE),""),"")</f>
        <v/>
      </c>
    </row>
    <row r="49" spans="1:37">
      <c r="A49" s="180">
        <v>47</v>
      </c>
      <c r="B49" s="608" t="str">
        <f>IFERROR(IF(F49="06",데이터입력!$AB$8,IF(F49="07",데이터입력!$AD$8,IF(F49="05",데이터입력!$AF$8,데이터입력!$AB$8))),데이터입력!$AB$8)</f>
        <v>00</v>
      </c>
      <c r="C49" s="609" t="str">
        <f>데이터입력!$AC$9</f>
        <v>일반사업[일반]</v>
      </c>
      <c r="D49" s="610" t="str">
        <f>IFERROR(IF(AND(데이터입력!$AE$2="추경",데이터입력!$AM$2=TRUE),VLOOKUP($A49,데이터입력!$A:$H,4,FALSE),""),"")</f>
        <v/>
      </c>
      <c r="E49" s="610" t="str">
        <f>IFERROR(IF(AND(데이터입력!$AE$2="추경",데이터입력!$AM$2=TRUE),VLOOKUP($A49,데이터입력!$A:$H,2,FALSE),""),"")</f>
        <v/>
      </c>
      <c r="F49" s="610" t="str">
        <f>IFERROR(IF(AND(데이터입력!$AE$2="추경",데이터입력!$AM$2=TRUE),VLOOKUP($A49,데이터입력!$A:$H,5,FALSE),""),"")</f>
        <v/>
      </c>
      <c r="G49" s="610" t="str">
        <f>IFERROR(IF(AND(데이터입력!$AE$2="추경",데이터입력!$AM$2=TRUE),VLOOKUP($A49,데이터입력!$A:$H,6,FALSE),""),"")</f>
        <v/>
      </c>
      <c r="H49" s="611" t="str">
        <f>IFERROR(IF(AND(데이터입력!$AE$2="추경",데이터입력!$AM$2=TRUE),VLOOKUP($A49,데이터입력!$A:$L,7,FALSE),""),"")</f>
        <v/>
      </c>
      <c r="I49" s="611" t="str">
        <f>IFERROR(IF(AND(데이터입력!$AE$2="추경",데이터입력!$AM$2=TRUE),VLOOKUP($A49,데이터입력!$A:$L,8,FALSE)+VLOOKUP($A49,데이터입력!$A:$L,9,FALSE)+VLOOKUP($A49,데이터입력!$A:$L,10,FALSE),""),"")</f>
        <v/>
      </c>
      <c r="J49" s="612" t="s">
        <v>135</v>
      </c>
      <c r="K49" s="612" t="s">
        <v>135</v>
      </c>
      <c r="L49" s="612" t="s">
        <v>135</v>
      </c>
      <c r="M49" s="604"/>
      <c r="N49" s="180">
        <v>247</v>
      </c>
      <c r="O49" s="616" t="str">
        <f>IFERROR(IF(S49="06",데이터입력!$AB$8,IF(S49="07",데이터입력!$AD$8,IF(S49="05",데이터입력!$AF$8,데이터입력!$AB$8))),데이터입력!$AB$8)</f>
        <v>00</v>
      </c>
      <c r="P49" s="617" t="str">
        <f>데이터입력!$AC$9</f>
        <v>일반사업[일반]</v>
      </c>
      <c r="Q49" s="618" t="str">
        <f>IFERROR(IF(데이터입력!$AE$2="추경",VLOOKUP($N49,데이터입력!$A:$H,4,FALSE),""),"")</f>
        <v/>
      </c>
      <c r="R49" s="618" t="str">
        <f>IFERROR(IF(데이터입력!$AE$2="추경",VLOOKUP($N49,데이터입력!$A:$H,2,FALSE),""),"")</f>
        <v/>
      </c>
      <c r="S49" s="618" t="str">
        <f>IFERROR(IF(데이터입력!$AE$2="추경",VLOOKUP($N49,데이터입력!$A:$H,5,FALSE),""),"")</f>
        <v/>
      </c>
      <c r="T49" s="618" t="str">
        <f>IFERROR(IF(데이터입력!$AE$2="추경",VLOOKUP($N49,데이터입력!$A:$H,6,FALSE),""),"")</f>
        <v/>
      </c>
      <c r="U49" s="619" t="str">
        <f>IFERROR(IF(데이터입력!$AE$2="추경",VLOOKUP($N49,데이터입력!$A:$L,8,FALSE)+VLOOKUP($N49,데이터입력!$A:$L,9,FALSE)+VLOOKUP($N49,데이터입력!$A:$L,10,FALSE),""),"")</f>
        <v/>
      </c>
      <c r="V49" s="620" t="s">
        <v>135</v>
      </c>
      <c r="W49" s="620" t="s">
        <v>135</v>
      </c>
      <c r="X49" s="620" t="s">
        <v>135</v>
      </c>
      <c r="Y49" s="601"/>
      <c r="Z49" s="182" t="str">
        <f>데이터입력!$AB$8</f>
        <v>00</v>
      </c>
      <c r="AA49" s="185" t="str">
        <f>데이터입력!$AC$9</f>
        <v>일반사업[일반]</v>
      </c>
      <c r="AB49" s="183" t="str">
        <f>IFERROR(IF(데이터입력!$AE$2="추경",VLOOKUP($A49,#REF!,4,FALSE),""),"")</f>
        <v/>
      </c>
      <c r="AC49" s="183" t="str">
        <f>IFERROR(IF(데이터입력!$AE$2="추경",VLOOKUP($A49,#REF!,5,FALSE),""),"")</f>
        <v/>
      </c>
      <c r="AD49" s="183" t="str">
        <f>IFERROR(IF(데이터입력!$AE$2="추경",VLOOKUP($A49,#REF!,6,FALSE),""),"")</f>
        <v/>
      </c>
      <c r="AE49" s="183" t="str">
        <f>IFERROR(IF(데이터입력!$AE$2="추경",VLOOKUP($A49,#REF!,7,FALSE),""),"")</f>
        <v/>
      </c>
      <c r="AF49" s="183"/>
      <c r="AG49" s="184" t="str">
        <f>IFERROR(IF(데이터입력!$AE$2="추경",VLOOKUP($A49,#REF!,9,FALSE),""),"")</f>
        <v/>
      </c>
      <c r="AH49" s="184" t="str">
        <f>IFERROR(IF(데이터입력!$AE$2="추경",VLOOKUP($A49,#REF!,10,FALSE),""),"")</f>
        <v/>
      </c>
      <c r="AI49" s="184" t="str">
        <f>IFERROR(IF(데이터입력!$AE$2="추경",VLOOKUP($A49,#REF!,11,FALSE),""),"")</f>
        <v/>
      </c>
      <c r="AJ49" s="184" t="str">
        <f>IFERROR(IF(데이터입력!$AE$2="추경",VLOOKUP($A49,#REF!,12,FALSE),""),"")</f>
        <v/>
      </c>
      <c r="AK49" s="184" t="str">
        <f>IFERROR(IF(데이터입력!$AE$2="추경",VLOOKUP($A49,#REF!,13,FALSE),""),"")</f>
        <v/>
      </c>
    </row>
    <row r="50" spans="1:37">
      <c r="A50" s="180">
        <v>48</v>
      </c>
      <c r="B50" s="608" t="str">
        <f>IFERROR(IF(F50="06",데이터입력!$AB$8,IF(F50="07",데이터입력!$AD$8,IF(F50="05",데이터입력!$AF$8,데이터입력!$AB$8))),데이터입력!$AB$8)</f>
        <v>00</v>
      </c>
      <c r="C50" s="609" t="str">
        <f>데이터입력!$AC$9</f>
        <v>일반사업[일반]</v>
      </c>
      <c r="D50" s="610" t="str">
        <f>IFERROR(IF(AND(데이터입력!$AE$2="추경",데이터입력!$AM$2=TRUE),VLOOKUP($A50,데이터입력!$A:$H,4,FALSE),""),"")</f>
        <v/>
      </c>
      <c r="E50" s="610" t="str">
        <f>IFERROR(IF(AND(데이터입력!$AE$2="추경",데이터입력!$AM$2=TRUE),VLOOKUP($A50,데이터입력!$A:$H,2,FALSE),""),"")</f>
        <v/>
      </c>
      <c r="F50" s="610" t="str">
        <f>IFERROR(IF(AND(데이터입력!$AE$2="추경",데이터입력!$AM$2=TRUE),VLOOKUP($A50,데이터입력!$A:$H,5,FALSE),""),"")</f>
        <v/>
      </c>
      <c r="G50" s="610" t="str">
        <f>IFERROR(IF(AND(데이터입력!$AE$2="추경",데이터입력!$AM$2=TRUE),VLOOKUP($A50,데이터입력!$A:$H,6,FALSE),""),"")</f>
        <v/>
      </c>
      <c r="H50" s="611" t="str">
        <f>IFERROR(IF(AND(데이터입력!$AE$2="추경",데이터입력!$AM$2=TRUE),VLOOKUP($A50,데이터입력!$A:$L,7,FALSE),""),"")</f>
        <v/>
      </c>
      <c r="I50" s="611" t="str">
        <f>IFERROR(IF(AND(데이터입력!$AE$2="추경",데이터입력!$AM$2=TRUE),VLOOKUP($A50,데이터입력!$A:$L,8,FALSE)+VLOOKUP($A50,데이터입력!$A:$L,9,FALSE)+VLOOKUP($A50,데이터입력!$A:$L,10,FALSE),""),"")</f>
        <v/>
      </c>
      <c r="J50" s="612" t="s">
        <v>135</v>
      </c>
      <c r="K50" s="612" t="s">
        <v>135</v>
      </c>
      <c r="L50" s="612" t="s">
        <v>135</v>
      </c>
      <c r="M50" s="604"/>
      <c r="N50" s="180">
        <v>248</v>
      </c>
      <c r="O50" s="616" t="str">
        <f>IFERROR(IF(S50="06",데이터입력!$AB$8,IF(S50="07",데이터입력!$AD$8,IF(S50="05",데이터입력!$AF$8,데이터입력!$AB$8))),데이터입력!$AB$8)</f>
        <v>00</v>
      </c>
      <c r="P50" s="617" t="str">
        <f>데이터입력!$AC$9</f>
        <v>일반사업[일반]</v>
      </c>
      <c r="Q50" s="618" t="str">
        <f>IFERROR(IF(데이터입력!$AE$2="추경",VLOOKUP($N50,데이터입력!$A:$H,4,FALSE),""),"")</f>
        <v/>
      </c>
      <c r="R50" s="618" t="str">
        <f>IFERROR(IF(데이터입력!$AE$2="추경",VLOOKUP($N50,데이터입력!$A:$H,2,FALSE),""),"")</f>
        <v/>
      </c>
      <c r="S50" s="618" t="str">
        <f>IFERROR(IF(데이터입력!$AE$2="추경",VLOOKUP($N50,데이터입력!$A:$H,5,FALSE),""),"")</f>
        <v/>
      </c>
      <c r="T50" s="618" t="str">
        <f>IFERROR(IF(데이터입력!$AE$2="추경",VLOOKUP($N50,데이터입력!$A:$H,6,FALSE),""),"")</f>
        <v/>
      </c>
      <c r="U50" s="619" t="str">
        <f>IFERROR(IF(데이터입력!$AE$2="추경",VLOOKUP($N50,데이터입력!$A:$L,8,FALSE)+VLOOKUP($N50,데이터입력!$A:$L,9,FALSE)+VLOOKUP($N50,데이터입력!$A:$L,10,FALSE),""),"")</f>
        <v/>
      </c>
      <c r="V50" s="620" t="s">
        <v>135</v>
      </c>
      <c r="W50" s="620" t="s">
        <v>135</v>
      </c>
      <c r="X50" s="620" t="s">
        <v>135</v>
      </c>
      <c r="Y50" s="600"/>
      <c r="Z50" s="182" t="str">
        <f>데이터입력!$AB$8</f>
        <v>00</v>
      </c>
      <c r="AA50" s="185" t="str">
        <f>데이터입력!$AC$9</f>
        <v>일반사업[일반]</v>
      </c>
      <c r="AB50" s="183" t="str">
        <f>IFERROR(IF(데이터입력!$AE$2="추경",VLOOKUP($A50,#REF!,4,FALSE),""),"")</f>
        <v/>
      </c>
      <c r="AC50" s="183" t="str">
        <f>IFERROR(IF(데이터입력!$AE$2="추경",VLOOKUP($A50,#REF!,5,FALSE),""),"")</f>
        <v/>
      </c>
      <c r="AD50" s="183" t="str">
        <f>IFERROR(IF(데이터입력!$AE$2="추경",VLOOKUP($A50,#REF!,6,FALSE),""),"")</f>
        <v/>
      </c>
      <c r="AE50" s="183" t="str">
        <f>IFERROR(IF(데이터입력!$AE$2="추경",VLOOKUP($A50,#REF!,7,FALSE),""),"")</f>
        <v/>
      </c>
      <c r="AF50" s="183"/>
      <c r="AG50" s="184" t="str">
        <f>IFERROR(IF(데이터입력!$AE$2="추경",VLOOKUP($A50,#REF!,9,FALSE),""),"")</f>
        <v/>
      </c>
      <c r="AH50" s="184" t="str">
        <f>IFERROR(IF(데이터입력!$AE$2="추경",VLOOKUP($A50,#REF!,10,FALSE),""),"")</f>
        <v/>
      </c>
      <c r="AI50" s="184" t="str">
        <f>IFERROR(IF(데이터입력!$AE$2="추경",VLOOKUP($A50,#REF!,11,FALSE),""),"")</f>
        <v/>
      </c>
      <c r="AJ50" s="184" t="str">
        <f>IFERROR(IF(데이터입력!$AE$2="추경",VLOOKUP($A50,#REF!,12,FALSE),""),"")</f>
        <v/>
      </c>
      <c r="AK50" s="184" t="str">
        <f>IFERROR(IF(데이터입력!$AE$2="추경",VLOOKUP($A50,#REF!,13,FALSE),""),"")</f>
        <v/>
      </c>
    </row>
    <row r="51" spans="1:37">
      <c r="A51" s="180">
        <v>49</v>
      </c>
      <c r="B51" s="608" t="str">
        <f>IFERROR(IF(F51="06",데이터입력!$AB$8,IF(F51="07",데이터입력!$AD$8,IF(F51="05",데이터입력!$AF$8,데이터입력!$AB$8))),데이터입력!$AB$8)</f>
        <v>00</v>
      </c>
      <c r="C51" s="609" t="str">
        <f>데이터입력!$AC$9</f>
        <v>일반사업[일반]</v>
      </c>
      <c r="D51" s="610" t="str">
        <f>IFERROR(IF(AND(데이터입력!$AE$2="추경",데이터입력!$AM$2=TRUE),VLOOKUP($A51,데이터입력!$A:$H,4,FALSE),""),"")</f>
        <v/>
      </c>
      <c r="E51" s="610" t="str">
        <f>IFERROR(IF(AND(데이터입력!$AE$2="추경",데이터입력!$AM$2=TRUE),VLOOKUP($A51,데이터입력!$A:$H,2,FALSE),""),"")</f>
        <v/>
      </c>
      <c r="F51" s="610" t="str">
        <f>IFERROR(IF(AND(데이터입력!$AE$2="추경",데이터입력!$AM$2=TRUE),VLOOKUP($A51,데이터입력!$A:$H,5,FALSE),""),"")</f>
        <v/>
      </c>
      <c r="G51" s="610" t="str">
        <f>IFERROR(IF(AND(데이터입력!$AE$2="추경",데이터입력!$AM$2=TRUE),VLOOKUP($A51,데이터입력!$A:$H,6,FALSE),""),"")</f>
        <v/>
      </c>
      <c r="H51" s="611" t="str">
        <f>IFERROR(IF(AND(데이터입력!$AE$2="추경",데이터입력!$AM$2=TRUE),VLOOKUP($A51,데이터입력!$A:$L,7,FALSE),""),"")</f>
        <v/>
      </c>
      <c r="I51" s="611" t="str">
        <f>IFERROR(IF(AND(데이터입력!$AE$2="추경",데이터입력!$AM$2=TRUE),VLOOKUP($A51,데이터입력!$A:$L,8,FALSE)+VLOOKUP($A51,데이터입력!$A:$L,9,FALSE)+VLOOKUP($A51,데이터입력!$A:$L,10,FALSE),""),"")</f>
        <v/>
      </c>
      <c r="J51" s="612" t="s">
        <v>135</v>
      </c>
      <c r="K51" s="612" t="s">
        <v>135</v>
      </c>
      <c r="L51" s="612" t="s">
        <v>135</v>
      </c>
      <c r="M51" s="604"/>
      <c r="N51" s="180">
        <v>249</v>
      </c>
      <c r="O51" s="616" t="str">
        <f>IFERROR(IF(S51="06",데이터입력!$AB$8,IF(S51="07",데이터입력!$AD$8,IF(S51="05",데이터입력!$AF$8,데이터입력!$AB$8))),데이터입력!$AB$8)</f>
        <v>00</v>
      </c>
      <c r="P51" s="617" t="str">
        <f>데이터입력!$AC$9</f>
        <v>일반사업[일반]</v>
      </c>
      <c r="Q51" s="618" t="str">
        <f>IFERROR(IF(데이터입력!$AE$2="추경",VLOOKUP($N51,데이터입력!$A:$H,4,FALSE),""),"")</f>
        <v/>
      </c>
      <c r="R51" s="618" t="str">
        <f>IFERROR(IF(데이터입력!$AE$2="추경",VLOOKUP($N51,데이터입력!$A:$H,2,FALSE),""),"")</f>
        <v/>
      </c>
      <c r="S51" s="618" t="str">
        <f>IFERROR(IF(데이터입력!$AE$2="추경",VLOOKUP($N51,데이터입력!$A:$H,5,FALSE),""),"")</f>
        <v/>
      </c>
      <c r="T51" s="618" t="str">
        <f>IFERROR(IF(데이터입력!$AE$2="추경",VLOOKUP($N51,데이터입력!$A:$H,6,FALSE),""),"")</f>
        <v/>
      </c>
      <c r="U51" s="619" t="str">
        <f>IFERROR(IF(데이터입력!$AE$2="추경",VLOOKUP($N51,데이터입력!$A:$L,8,FALSE)+VLOOKUP($N51,데이터입력!$A:$L,9,FALSE)+VLOOKUP($N51,데이터입력!$A:$L,10,FALSE),""),"")</f>
        <v/>
      </c>
      <c r="V51" s="620" t="s">
        <v>135</v>
      </c>
      <c r="W51" s="620" t="s">
        <v>135</v>
      </c>
      <c r="X51" s="620" t="s">
        <v>135</v>
      </c>
      <c r="Y51" s="601"/>
      <c r="Z51" s="182" t="str">
        <f>데이터입력!$AB$8</f>
        <v>00</v>
      </c>
      <c r="AA51" s="185" t="str">
        <f>데이터입력!$AC$9</f>
        <v>일반사업[일반]</v>
      </c>
      <c r="AB51" s="183" t="str">
        <f>IFERROR(IF(데이터입력!$AE$2="추경",VLOOKUP($A51,#REF!,4,FALSE),""),"")</f>
        <v/>
      </c>
      <c r="AC51" s="183" t="str">
        <f>IFERROR(IF(데이터입력!$AE$2="추경",VLOOKUP($A51,#REF!,5,FALSE),""),"")</f>
        <v/>
      </c>
      <c r="AD51" s="183" t="str">
        <f>IFERROR(IF(데이터입력!$AE$2="추경",VLOOKUP($A51,#REF!,6,FALSE),""),"")</f>
        <v/>
      </c>
      <c r="AE51" s="183" t="str">
        <f>IFERROR(IF(데이터입력!$AE$2="추경",VLOOKUP($A51,#REF!,7,FALSE),""),"")</f>
        <v/>
      </c>
      <c r="AF51" s="183"/>
      <c r="AG51" s="184" t="str">
        <f>IFERROR(IF(데이터입력!$AE$2="추경",VLOOKUP($A51,#REF!,9,FALSE),""),"")</f>
        <v/>
      </c>
      <c r="AH51" s="184" t="str">
        <f>IFERROR(IF(데이터입력!$AE$2="추경",VLOOKUP($A51,#REF!,10,FALSE),""),"")</f>
        <v/>
      </c>
      <c r="AI51" s="184" t="str">
        <f>IFERROR(IF(데이터입력!$AE$2="추경",VLOOKUP($A51,#REF!,11,FALSE),""),"")</f>
        <v/>
      </c>
      <c r="AJ51" s="184" t="str">
        <f>IFERROR(IF(데이터입력!$AE$2="추경",VLOOKUP($A51,#REF!,12,FALSE),""),"")</f>
        <v/>
      </c>
      <c r="AK51" s="184" t="str">
        <f>IFERROR(IF(데이터입력!$AE$2="추경",VLOOKUP($A51,#REF!,13,FALSE),""),"")</f>
        <v/>
      </c>
    </row>
    <row r="52" spans="1:37">
      <c r="A52" s="180">
        <v>50</v>
      </c>
      <c r="B52" s="608" t="str">
        <f>IFERROR(IF(F52="06",데이터입력!$AB$8,IF(F52="07",데이터입력!$AD$8,IF(F52="05",데이터입력!$AF$8,데이터입력!$AB$8))),데이터입력!$AB$8)</f>
        <v>00</v>
      </c>
      <c r="C52" s="609" t="str">
        <f>데이터입력!$AC$9</f>
        <v>일반사업[일반]</v>
      </c>
      <c r="D52" s="610" t="str">
        <f>IFERROR(IF(AND(데이터입력!$AE$2="추경",데이터입력!$AM$2=TRUE),VLOOKUP($A52,데이터입력!$A:$H,4,FALSE),""),"")</f>
        <v/>
      </c>
      <c r="E52" s="610" t="str">
        <f>IFERROR(IF(AND(데이터입력!$AE$2="추경",데이터입력!$AM$2=TRUE),VLOOKUP($A52,데이터입력!$A:$H,2,FALSE),""),"")</f>
        <v/>
      </c>
      <c r="F52" s="610" t="str">
        <f>IFERROR(IF(AND(데이터입력!$AE$2="추경",데이터입력!$AM$2=TRUE),VLOOKUP($A52,데이터입력!$A:$H,5,FALSE),""),"")</f>
        <v/>
      </c>
      <c r="G52" s="610" t="str">
        <f>IFERROR(IF(AND(데이터입력!$AE$2="추경",데이터입력!$AM$2=TRUE),VLOOKUP($A52,데이터입력!$A:$H,6,FALSE),""),"")</f>
        <v/>
      </c>
      <c r="H52" s="611" t="str">
        <f>IFERROR(IF(AND(데이터입력!$AE$2="추경",데이터입력!$AM$2=TRUE),VLOOKUP($A52,데이터입력!$A:$L,7,FALSE),""),"")</f>
        <v/>
      </c>
      <c r="I52" s="611" t="str">
        <f>IFERROR(IF(AND(데이터입력!$AE$2="추경",데이터입력!$AM$2=TRUE),VLOOKUP($A52,데이터입력!$A:$L,8,FALSE)+VLOOKUP($A52,데이터입력!$A:$L,9,FALSE)+VLOOKUP($A52,데이터입력!$A:$L,10,FALSE),""),"")</f>
        <v/>
      </c>
      <c r="J52" s="612" t="s">
        <v>135</v>
      </c>
      <c r="K52" s="612" t="s">
        <v>135</v>
      </c>
      <c r="L52" s="612" t="s">
        <v>135</v>
      </c>
      <c r="M52" s="604"/>
      <c r="N52" s="180">
        <v>250</v>
      </c>
      <c r="O52" s="616" t="str">
        <f>IFERROR(IF(S52="06",데이터입력!$AB$8,IF(S52="07",데이터입력!$AD$8,IF(S52="05",데이터입력!$AF$8,데이터입력!$AB$8))),데이터입력!$AB$8)</f>
        <v>00</v>
      </c>
      <c r="P52" s="617" t="str">
        <f>데이터입력!$AC$9</f>
        <v>일반사업[일반]</v>
      </c>
      <c r="Q52" s="618" t="str">
        <f>IFERROR(IF(데이터입력!$AE$2="추경",VLOOKUP($N52,데이터입력!$A:$H,4,FALSE),""),"")</f>
        <v/>
      </c>
      <c r="R52" s="618" t="str">
        <f>IFERROR(IF(데이터입력!$AE$2="추경",VLOOKUP($N52,데이터입력!$A:$H,2,FALSE),""),"")</f>
        <v/>
      </c>
      <c r="S52" s="618" t="str">
        <f>IFERROR(IF(데이터입력!$AE$2="추경",VLOOKUP($N52,데이터입력!$A:$H,5,FALSE),""),"")</f>
        <v/>
      </c>
      <c r="T52" s="618" t="str">
        <f>IFERROR(IF(데이터입력!$AE$2="추경",VLOOKUP($N52,데이터입력!$A:$H,6,FALSE),""),"")</f>
        <v/>
      </c>
      <c r="U52" s="619" t="str">
        <f>IFERROR(IF(데이터입력!$AE$2="추경",VLOOKUP($N52,데이터입력!$A:$L,8,FALSE)+VLOOKUP($N52,데이터입력!$A:$L,9,FALSE)+VLOOKUP($N52,데이터입력!$A:$L,10,FALSE),""),"")</f>
        <v/>
      </c>
      <c r="V52" s="620" t="s">
        <v>135</v>
      </c>
      <c r="W52" s="620" t="s">
        <v>135</v>
      </c>
      <c r="X52" s="620" t="s">
        <v>135</v>
      </c>
      <c r="Y52" s="600"/>
      <c r="Z52" s="182" t="str">
        <f>데이터입력!$AB$8</f>
        <v>00</v>
      </c>
      <c r="AA52" s="185" t="str">
        <f>데이터입력!$AC$9</f>
        <v>일반사업[일반]</v>
      </c>
      <c r="AB52" s="183" t="str">
        <f>IFERROR(IF(데이터입력!$AE$2="추경",VLOOKUP($A52,#REF!,4,FALSE),""),"")</f>
        <v/>
      </c>
      <c r="AC52" s="183" t="str">
        <f>IFERROR(IF(데이터입력!$AE$2="추경",VLOOKUP($A52,#REF!,5,FALSE),""),"")</f>
        <v/>
      </c>
      <c r="AD52" s="183" t="str">
        <f>IFERROR(IF(데이터입력!$AE$2="추경",VLOOKUP($A52,#REF!,6,FALSE),""),"")</f>
        <v/>
      </c>
      <c r="AE52" s="183" t="str">
        <f>IFERROR(IF(데이터입력!$AE$2="추경",VLOOKUP($A52,#REF!,7,FALSE),""),"")</f>
        <v/>
      </c>
      <c r="AF52" s="183"/>
      <c r="AG52" s="184" t="str">
        <f>IFERROR(IF(데이터입력!$AE$2="추경",VLOOKUP($A52,#REF!,9,FALSE),""),"")</f>
        <v/>
      </c>
      <c r="AH52" s="184" t="str">
        <f>IFERROR(IF(데이터입력!$AE$2="추경",VLOOKUP($A52,#REF!,10,FALSE),""),"")</f>
        <v/>
      </c>
      <c r="AI52" s="184" t="str">
        <f>IFERROR(IF(데이터입력!$AE$2="추경",VLOOKUP($A52,#REF!,11,FALSE),""),"")</f>
        <v/>
      </c>
      <c r="AJ52" s="184" t="str">
        <f>IFERROR(IF(데이터입력!$AE$2="추경",VLOOKUP($A52,#REF!,12,FALSE),""),"")</f>
        <v/>
      </c>
      <c r="AK52" s="184" t="str">
        <f>IFERROR(IF(데이터입력!$AE$2="추경",VLOOKUP($A52,#REF!,13,FALSE),""),"")</f>
        <v/>
      </c>
    </row>
    <row r="53" spans="1:37">
      <c r="A53" s="180">
        <v>51</v>
      </c>
      <c r="B53" s="608" t="str">
        <f>IFERROR(IF(F53="06",데이터입력!$AB$8,IF(F53="07",데이터입력!$AD$8,IF(F53="05",데이터입력!$AF$8,데이터입력!$AB$8))),데이터입력!$AB$8)</f>
        <v>00</v>
      </c>
      <c r="C53" s="609" t="str">
        <f>데이터입력!$AC$9</f>
        <v>일반사업[일반]</v>
      </c>
      <c r="D53" s="610" t="str">
        <f>IFERROR(IF(AND(데이터입력!$AE$2="추경",데이터입력!$AM$2=TRUE),VLOOKUP($A53,데이터입력!$A:$H,4,FALSE),""),"")</f>
        <v/>
      </c>
      <c r="E53" s="610" t="str">
        <f>IFERROR(IF(AND(데이터입력!$AE$2="추경",데이터입력!$AM$2=TRUE),VLOOKUP($A53,데이터입력!$A:$H,2,FALSE),""),"")</f>
        <v/>
      </c>
      <c r="F53" s="610" t="str">
        <f>IFERROR(IF(AND(데이터입력!$AE$2="추경",데이터입력!$AM$2=TRUE),VLOOKUP($A53,데이터입력!$A:$H,5,FALSE),""),"")</f>
        <v/>
      </c>
      <c r="G53" s="610" t="str">
        <f>IFERROR(IF(AND(데이터입력!$AE$2="추경",데이터입력!$AM$2=TRUE),VLOOKUP($A53,데이터입력!$A:$H,6,FALSE),""),"")</f>
        <v/>
      </c>
      <c r="H53" s="611" t="str">
        <f>IFERROR(IF(AND(데이터입력!$AE$2="추경",데이터입력!$AM$2=TRUE),VLOOKUP($A53,데이터입력!$A:$L,7,FALSE),""),"")</f>
        <v/>
      </c>
      <c r="I53" s="611" t="str">
        <f>IFERROR(IF(AND(데이터입력!$AE$2="추경",데이터입력!$AM$2=TRUE),VLOOKUP($A53,데이터입력!$A:$L,8,FALSE)+VLOOKUP($A53,데이터입력!$A:$L,9,FALSE)+VLOOKUP($A53,데이터입력!$A:$L,10,FALSE),""),"")</f>
        <v/>
      </c>
      <c r="J53" s="612" t="s">
        <v>135</v>
      </c>
      <c r="K53" s="612" t="s">
        <v>135</v>
      </c>
      <c r="L53" s="612" t="s">
        <v>135</v>
      </c>
      <c r="M53" s="604"/>
      <c r="N53" s="180">
        <v>251</v>
      </c>
      <c r="O53" s="616" t="str">
        <f>IFERROR(IF(S53="06",데이터입력!$AB$8,IF(S53="07",데이터입력!$AD$8,IF(S53="05",데이터입력!$AF$8,데이터입력!$AB$8))),데이터입력!$AB$8)</f>
        <v>00</v>
      </c>
      <c r="P53" s="617" t="str">
        <f>데이터입력!$AC$9</f>
        <v>일반사업[일반]</v>
      </c>
      <c r="Q53" s="618" t="str">
        <f>IFERROR(IF(데이터입력!$AE$2="추경",VLOOKUP($N53,데이터입력!$A:$H,4,FALSE),""),"")</f>
        <v/>
      </c>
      <c r="R53" s="618" t="str">
        <f>IFERROR(IF(데이터입력!$AE$2="추경",VLOOKUP($N53,데이터입력!$A:$H,2,FALSE),""),"")</f>
        <v/>
      </c>
      <c r="S53" s="618" t="str">
        <f>IFERROR(IF(데이터입력!$AE$2="추경",VLOOKUP($N53,데이터입력!$A:$H,5,FALSE),""),"")</f>
        <v/>
      </c>
      <c r="T53" s="618" t="str">
        <f>IFERROR(IF(데이터입력!$AE$2="추경",VLOOKUP($N53,데이터입력!$A:$H,6,FALSE),""),"")</f>
        <v/>
      </c>
      <c r="U53" s="619" t="str">
        <f>IFERROR(IF(데이터입력!$AE$2="추경",VLOOKUP($N53,데이터입력!$A:$L,8,FALSE)+VLOOKUP($N53,데이터입력!$A:$L,9,FALSE)+VLOOKUP($N53,데이터입력!$A:$L,10,FALSE),""),"")</f>
        <v/>
      </c>
      <c r="V53" s="620" t="s">
        <v>135</v>
      </c>
      <c r="W53" s="620" t="s">
        <v>135</v>
      </c>
      <c r="X53" s="620" t="s">
        <v>135</v>
      </c>
      <c r="Y53" s="601"/>
      <c r="Z53" s="182" t="str">
        <f>데이터입력!$AB$8</f>
        <v>00</v>
      </c>
      <c r="AA53" s="185" t="str">
        <f>데이터입력!$AC$9</f>
        <v>일반사업[일반]</v>
      </c>
      <c r="AB53" s="183" t="str">
        <f>IFERROR(IF(데이터입력!$AE$2="추경",VLOOKUP($A53,#REF!,4,FALSE),""),"")</f>
        <v/>
      </c>
      <c r="AC53" s="183" t="str">
        <f>IFERROR(IF(데이터입력!$AE$2="추경",VLOOKUP($A53,#REF!,5,FALSE),""),"")</f>
        <v/>
      </c>
      <c r="AD53" s="183" t="str">
        <f>IFERROR(IF(데이터입력!$AE$2="추경",VLOOKUP($A53,#REF!,6,FALSE),""),"")</f>
        <v/>
      </c>
      <c r="AE53" s="183" t="str">
        <f>IFERROR(IF(데이터입력!$AE$2="추경",VLOOKUP($A53,#REF!,7,FALSE),""),"")</f>
        <v/>
      </c>
      <c r="AF53" s="183"/>
      <c r="AG53" s="184" t="str">
        <f>IFERROR(IF(데이터입력!$AE$2="추경",VLOOKUP($A53,#REF!,9,FALSE),""),"")</f>
        <v/>
      </c>
      <c r="AH53" s="184" t="str">
        <f>IFERROR(IF(데이터입력!$AE$2="추경",VLOOKUP($A53,#REF!,10,FALSE),""),"")</f>
        <v/>
      </c>
      <c r="AI53" s="184" t="str">
        <f>IFERROR(IF(데이터입력!$AE$2="추경",VLOOKUP($A53,#REF!,11,FALSE),""),"")</f>
        <v/>
      </c>
      <c r="AJ53" s="184" t="str">
        <f>IFERROR(IF(데이터입력!$AE$2="추경",VLOOKUP($A53,#REF!,12,FALSE),""),"")</f>
        <v/>
      </c>
      <c r="AK53" s="184" t="str">
        <f>IFERROR(IF(데이터입력!$AE$2="추경",VLOOKUP($A53,#REF!,13,FALSE),""),"")</f>
        <v/>
      </c>
    </row>
    <row r="54" spans="1:37">
      <c r="A54" s="180">
        <v>52</v>
      </c>
      <c r="B54" s="608" t="str">
        <f>IFERROR(IF(F54="06",데이터입력!$AB$8,IF(F54="07",데이터입력!$AD$8,IF(F54="05",데이터입력!$AF$8,데이터입력!$AB$8))),데이터입력!$AB$8)</f>
        <v>00</v>
      </c>
      <c r="C54" s="609" t="str">
        <f>데이터입력!$AC$9</f>
        <v>일반사업[일반]</v>
      </c>
      <c r="D54" s="610" t="str">
        <f>IFERROR(IF(AND(데이터입력!$AE$2="추경",데이터입력!$AM$2=TRUE),VLOOKUP($A54,데이터입력!$A:$H,4,FALSE),""),"")</f>
        <v/>
      </c>
      <c r="E54" s="610" t="str">
        <f>IFERROR(IF(AND(데이터입력!$AE$2="추경",데이터입력!$AM$2=TRUE),VLOOKUP($A54,데이터입력!$A:$H,2,FALSE),""),"")</f>
        <v/>
      </c>
      <c r="F54" s="610" t="str">
        <f>IFERROR(IF(AND(데이터입력!$AE$2="추경",데이터입력!$AM$2=TRUE),VLOOKUP($A54,데이터입력!$A:$H,5,FALSE),""),"")</f>
        <v/>
      </c>
      <c r="G54" s="610" t="str">
        <f>IFERROR(IF(AND(데이터입력!$AE$2="추경",데이터입력!$AM$2=TRUE),VLOOKUP($A54,데이터입력!$A:$H,6,FALSE),""),"")</f>
        <v/>
      </c>
      <c r="H54" s="611" t="str">
        <f>IFERROR(IF(AND(데이터입력!$AE$2="추경",데이터입력!$AM$2=TRUE),VLOOKUP($A54,데이터입력!$A:$L,7,FALSE),""),"")</f>
        <v/>
      </c>
      <c r="I54" s="611" t="str">
        <f>IFERROR(IF(AND(데이터입력!$AE$2="추경",데이터입력!$AM$2=TRUE),VLOOKUP($A54,데이터입력!$A:$L,8,FALSE)+VLOOKUP($A54,데이터입력!$A:$L,9,FALSE)+VLOOKUP($A54,데이터입력!$A:$L,10,FALSE),""),"")</f>
        <v/>
      </c>
      <c r="J54" s="612" t="s">
        <v>135</v>
      </c>
      <c r="K54" s="612" t="s">
        <v>135</v>
      </c>
      <c r="L54" s="612" t="s">
        <v>135</v>
      </c>
      <c r="M54" s="604"/>
      <c r="N54" s="180">
        <v>252</v>
      </c>
      <c r="O54" s="616" t="str">
        <f>IFERROR(IF(S54="06",데이터입력!$AB$8,IF(S54="07",데이터입력!$AD$8,IF(S54="05",데이터입력!$AF$8,데이터입력!$AB$8))),데이터입력!$AB$8)</f>
        <v>00</v>
      </c>
      <c r="P54" s="617" t="str">
        <f>데이터입력!$AC$9</f>
        <v>일반사업[일반]</v>
      </c>
      <c r="Q54" s="618" t="str">
        <f>IFERROR(IF(데이터입력!$AE$2="추경",VLOOKUP($N54,데이터입력!$A:$H,4,FALSE),""),"")</f>
        <v/>
      </c>
      <c r="R54" s="618" t="str">
        <f>IFERROR(IF(데이터입력!$AE$2="추경",VLOOKUP($N54,데이터입력!$A:$H,2,FALSE),""),"")</f>
        <v/>
      </c>
      <c r="S54" s="618" t="str">
        <f>IFERROR(IF(데이터입력!$AE$2="추경",VLOOKUP($N54,데이터입력!$A:$H,5,FALSE),""),"")</f>
        <v/>
      </c>
      <c r="T54" s="618" t="str">
        <f>IFERROR(IF(데이터입력!$AE$2="추경",VLOOKUP($N54,데이터입력!$A:$H,6,FALSE),""),"")</f>
        <v/>
      </c>
      <c r="U54" s="619" t="str">
        <f>IFERROR(IF(데이터입력!$AE$2="추경",VLOOKUP($N54,데이터입력!$A:$L,8,FALSE)+VLOOKUP($N54,데이터입력!$A:$L,9,FALSE)+VLOOKUP($N54,데이터입력!$A:$L,10,FALSE),""),"")</f>
        <v/>
      </c>
      <c r="V54" s="620" t="s">
        <v>135</v>
      </c>
      <c r="W54" s="620" t="s">
        <v>135</v>
      </c>
      <c r="X54" s="620" t="s">
        <v>135</v>
      </c>
      <c r="Y54" s="600"/>
      <c r="Z54" s="182" t="str">
        <f>데이터입력!$AB$8</f>
        <v>00</v>
      </c>
      <c r="AA54" s="185" t="str">
        <f>데이터입력!$AC$9</f>
        <v>일반사업[일반]</v>
      </c>
      <c r="AB54" s="183" t="str">
        <f>IFERROR(IF(데이터입력!$AE$2="추경",VLOOKUP($A54,#REF!,4,FALSE),""),"")</f>
        <v/>
      </c>
      <c r="AC54" s="183" t="str">
        <f>IFERROR(IF(데이터입력!$AE$2="추경",VLOOKUP($A54,#REF!,5,FALSE),""),"")</f>
        <v/>
      </c>
      <c r="AD54" s="183" t="str">
        <f>IFERROR(IF(데이터입력!$AE$2="추경",VLOOKUP($A54,#REF!,6,FALSE),""),"")</f>
        <v/>
      </c>
      <c r="AE54" s="183" t="str">
        <f>IFERROR(IF(데이터입력!$AE$2="추경",VLOOKUP($A54,#REF!,7,FALSE),""),"")</f>
        <v/>
      </c>
      <c r="AF54" s="183"/>
      <c r="AG54" s="184" t="str">
        <f>IFERROR(IF(데이터입력!$AE$2="추경",VLOOKUP($A54,#REF!,9,FALSE),""),"")</f>
        <v/>
      </c>
      <c r="AH54" s="184" t="str">
        <f>IFERROR(IF(데이터입력!$AE$2="추경",VLOOKUP($A54,#REF!,10,FALSE),""),"")</f>
        <v/>
      </c>
      <c r="AI54" s="184" t="str">
        <f>IFERROR(IF(데이터입력!$AE$2="추경",VLOOKUP($A54,#REF!,11,FALSE),""),"")</f>
        <v/>
      </c>
      <c r="AJ54" s="184" t="str">
        <f>IFERROR(IF(데이터입력!$AE$2="추경",VLOOKUP($A54,#REF!,12,FALSE),""),"")</f>
        <v/>
      </c>
      <c r="AK54" s="184" t="str">
        <f>IFERROR(IF(데이터입력!$AE$2="추경",VLOOKUP($A54,#REF!,13,FALSE),""),"")</f>
        <v/>
      </c>
    </row>
    <row r="55" spans="1:37">
      <c r="A55" s="180">
        <v>53</v>
      </c>
      <c r="B55" s="608" t="str">
        <f>IFERROR(IF(F55="06",데이터입력!$AB$8,IF(F55="07",데이터입력!$AD$8,IF(F55="05",데이터입력!$AF$8,데이터입력!$AB$8))),데이터입력!$AB$8)</f>
        <v>00</v>
      </c>
      <c r="C55" s="609" t="str">
        <f>데이터입력!$AC$9</f>
        <v>일반사업[일반]</v>
      </c>
      <c r="D55" s="610" t="str">
        <f>IFERROR(IF(AND(데이터입력!$AE$2="추경",데이터입력!$AM$2=TRUE),VLOOKUP($A55,데이터입력!$A:$H,4,FALSE),""),"")</f>
        <v/>
      </c>
      <c r="E55" s="610" t="str">
        <f>IFERROR(IF(AND(데이터입력!$AE$2="추경",데이터입력!$AM$2=TRUE),VLOOKUP($A55,데이터입력!$A:$H,2,FALSE),""),"")</f>
        <v/>
      </c>
      <c r="F55" s="610" t="str">
        <f>IFERROR(IF(AND(데이터입력!$AE$2="추경",데이터입력!$AM$2=TRUE),VLOOKUP($A55,데이터입력!$A:$H,5,FALSE),""),"")</f>
        <v/>
      </c>
      <c r="G55" s="610" t="str">
        <f>IFERROR(IF(AND(데이터입력!$AE$2="추경",데이터입력!$AM$2=TRUE),VLOOKUP($A55,데이터입력!$A:$H,6,FALSE),""),"")</f>
        <v/>
      </c>
      <c r="H55" s="611" t="str">
        <f>IFERROR(IF(AND(데이터입력!$AE$2="추경",데이터입력!$AM$2=TRUE),VLOOKUP($A55,데이터입력!$A:$L,7,FALSE),""),"")</f>
        <v/>
      </c>
      <c r="I55" s="611" t="str">
        <f>IFERROR(IF(AND(데이터입력!$AE$2="추경",데이터입력!$AM$2=TRUE),VLOOKUP($A55,데이터입력!$A:$L,8,FALSE)+VLOOKUP($A55,데이터입력!$A:$L,9,FALSE)+VLOOKUP($A55,데이터입력!$A:$L,10,FALSE),""),"")</f>
        <v/>
      </c>
      <c r="J55" s="612" t="s">
        <v>135</v>
      </c>
      <c r="K55" s="612" t="s">
        <v>135</v>
      </c>
      <c r="L55" s="612" t="s">
        <v>135</v>
      </c>
      <c r="M55" s="604"/>
      <c r="N55" s="180">
        <v>253</v>
      </c>
      <c r="O55" s="616" t="str">
        <f>IFERROR(IF(S55="06",데이터입력!$AB$8,IF(S55="07",데이터입력!$AD$8,IF(S55="05",데이터입력!$AF$8,데이터입력!$AB$8))),데이터입력!$AB$8)</f>
        <v>00</v>
      </c>
      <c r="P55" s="617" t="str">
        <f>데이터입력!$AC$9</f>
        <v>일반사업[일반]</v>
      </c>
      <c r="Q55" s="618" t="str">
        <f>IFERROR(IF(데이터입력!$AE$2="추경",VLOOKUP($N55,데이터입력!$A:$H,4,FALSE),""),"")</f>
        <v/>
      </c>
      <c r="R55" s="618" t="str">
        <f>IFERROR(IF(데이터입력!$AE$2="추경",VLOOKUP($N55,데이터입력!$A:$H,2,FALSE),""),"")</f>
        <v/>
      </c>
      <c r="S55" s="618" t="str">
        <f>IFERROR(IF(데이터입력!$AE$2="추경",VLOOKUP($N55,데이터입력!$A:$H,5,FALSE),""),"")</f>
        <v/>
      </c>
      <c r="T55" s="618" t="str">
        <f>IFERROR(IF(데이터입력!$AE$2="추경",VLOOKUP($N55,데이터입력!$A:$H,6,FALSE),""),"")</f>
        <v/>
      </c>
      <c r="U55" s="619" t="str">
        <f>IFERROR(IF(데이터입력!$AE$2="추경",VLOOKUP($N55,데이터입력!$A:$L,8,FALSE)+VLOOKUP($N55,데이터입력!$A:$L,9,FALSE)+VLOOKUP($N55,데이터입력!$A:$L,10,FALSE),""),"")</f>
        <v/>
      </c>
      <c r="V55" s="620" t="s">
        <v>135</v>
      </c>
      <c r="W55" s="620" t="s">
        <v>135</v>
      </c>
      <c r="X55" s="620" t="s">
        <v>135</v>
      </c>
      <c r="Y55" s="601"/>
      <c r="Z55" s="182" t="str">
        <f>데이터입력!$AB$8</f>
        <v>00</v>
      </c>
      <c r="AA55" s="185" t="str">
        <f>데이터입력!$AC$9</f>
        <v>일반사업[일반]</v>
      </c>
      <c r="AB55" s="183" t="str">
        <f>IFERROR(IF(데이터입력!$AE$2="추경",VLOOKUP($A55,#REF!,4,FALSE),""),"")</f>
        <v/>
      </c>
      <c r="AC55" s="183" t="str">
        <f>IFERROR(IF(데이터입력!$AE$2="추경",VLOOKUP($A55,#REF!,5,FALSE),""),"")</f>
        <v/>
      </c>
      <c r="AD55" s="183" t="str">
        <f>IFERROR(IF(데이터입력!$AE$2="추경",VLOOKUP($A55,#REF!,6,FALSE),""),"")</f>
        <v/>
      </c>
      <c r="AE55" s="183" t="str">
        <f>IFERROR(IF(데이터입력!$AE$2="추경",VLOOKUP($A55,#REF!,7,FALSE),""),"")</f>
        <v/>
      </c>
      <c r="AF55" s="183"/>
      <c r="AG55" s="184" t="str">
        <f>IFERROR(IF(데이터입력!$AE$2="추경",VLOOKUP($A55,#REF!,9,FALSE),""),"")</f>
        <v/>
      </c>
      <c r="AH55" s="184" t="str">
        <f>IFERROR(IF(데이터입력!$AE$2="추경",VLOOKUP($A55,#REF!,10,FALSE),""),"")</f>
        <v/>
      </c>
      <c r="AI55" s="184" t="str">
        <f>IFERROR(IF(데이터입력!$AE$2="추경",VLOOKUP($A55,#REF!,11,FALSE),""),"")</f>
        <v/>
      </c>
      <c r="AJ55" s="184" t="str">
        <f>IFERROR(IF(데이터입력!$AE$2="추경",VLOOKUP($A55,#REF!,12,FALSE),""),"")</f>
        <v/>
      </c>
      <c r="AK55" s="184" t="str">
        <f>IFERROR(IF(데이터입력!$AE$2="추경",VLOOKUP($A55,#REF!,13,FALSE),""),"")</f>
        <v/>
      </c>
    </row>
    <row r="56" spans="1:37">
      <c r="A56" s="180">
        <v>54</v>
      </c>
      <c r="B56" s="608" t="str">
        <f>IFERROR(IF(F56="06",데이터입력!$AB$8,IF(F56="07",데이터입력!$AD$8,IF(F56="05",데이터입력!$AF$8,데이터입력!$AB$8))),데이터입력!$AB$8)</f>
        <v>00</v>
      </c>
      <c r="C56" s="609" t="str">
        <f>데이터입력!$AC$9</f>
        <v>일반사업[일반]</v>
      </c>
      <c r="D56" s="610" t="str">
        <f>IFERROR(IF(AND(데이터입력!$AE$2="추경",데이터입력!$AM$2=TRUE),VLOOKUP($A56,데이터입력!$A:$H,4,FALSE),""),"")</f>
        <v/>
      </c>
      <c r="E56" s="610" t="str">
        <f>IFERROR(IF(AND(데이터입력!$AE$2="추경",데이터입력!$AM$2=TRUE),VLOOKUP($A56,데이터입력!$A:$H,2,FALSE),""),"")</f>
        <v/>
      </c>
      <c r="F56" s="610" t="str">
        <f>IFERROR(IF(AND(데이터입력!$AE$2="추경",데이터입력!$AM$2=TRUE),VLOOKUP($A56,데이터입력!$A:$H,5,FALSE),""),"")</f>
        <v/>
      </c>
      <c r="G56" s="610" t="str">
        <f>IFERROR(IF(AND(데이터입력!$AE$2="추경",데이터입력!$AM$2=TRUE),VLOOKUP($A56,데이터입력!$A:$H,6,FALSE),""),"")</f>
        <v/>
      </c>
      <c r="H56" s="611" t="str">
        <f>IFERROR(IF(AND(데이터입력!$AE$2="추경",데이터입력!$AM$2=TRUE),VLOOKUP($A56,데이터입력!$A:$L,7,FALSE),""),"")</f>
        <v/>
      </c>
      <c r="I56" s="611" t="str">
        <f>IFERROR(IF(AND(데이터입력!$AE$2="추경",데이터입력!$AM$2=TRUE),VLOOKUP($A56,데이터입력!$A:$L,8,FALSE)+VLOOKUP($A56,데이터입력!$A:$L,9,FALSE)+VLOOKUP($A56,데이터입력!$A:$L,10,FALSE),""),"")</f>
        <v/>
      </c>
      <c r="J56" s="612" t="s">
        <v>135</v>
      </c>
      <c r="K56" s="612" t="s">
        <v>135</v>
      </c>
      <c r="L56" s="612" t="s">
        <v>135</v>
      </c>
      <c r="M56" s="604"/>
      <c r="N56" s="180">
        <v>254</v>
      </c>
      <c r="O56" s="616" t="str">
        <f>IFERROR(IF(S56="06",데이터입력!$AB$8,IF(S56="07",데이터입력!$AD$8,IF(S56="05",데이터입력!$AF$8,데이터입력!$AB$8))),데이터입력!$AB$8)</f>
        <v>00</v>
      </c>
      <c r="P56" s="617" t="str">
        <f>데이터입력!$AC$9</f>
        <v>일반사업[일반]</v>
      </c>
      <c r="Q56" s="618" t="str">
        <f>IFERROR(IF(데이터입력!$AE$2="추경",VLOOKUP($N56,데이터입력!$A:$H,4,FALSE),""),"")</f>
        <v/>
      </c>
      <c r="R56" s="618" t="str">
        <f>IFERROR(IF(데이터입력!$AE$2="추경",VLOOKUP($N56,데이터입력!$A:$H,2,FALSE),""),"")</f>
        <v/>
      </c>
      <c r="S56" s="618" t="str">
        <f>IFERROR(IF(데이터입력!$AE$2="추경",VLOOKUP($N56,데이터입력!$A:$H,5,FALSE),""),"")</f>
        <v/>
      </c>
      <c r="T56" s="618" t="str">
        <f>IFERROR(IF(데이터입력!$AE$2="추경",VLOOKUP($N56,데이터입력!$A:$H,6,FALSE),""),"")</f>
        <v/>
      </c>
      <c r="U56" s="619" t="str">
        <f>IFERROR(IF(데이터입력!$AE$2="추경",VLOOKUP($N56,데이터입력!$A:$L,8,FALSE)+VLOOKUP($N56,데이터입력!$A:$L,9,FALSE)+VLOOKUP($N56,데이터입력!$A:$L,10,FALSE),""),"")</f>
        <v/>
      </c>
      <c r="V56" s="620" t="s">
        <v>135</v>
      </c>
      <c r="W56" s="620" t="s">
        <v>135</v>
      </c>
      <c r="X56" s="620" t="s">
        <v>135</v>
      </c>
      <c r="Y56" s="600"/>
      <c r="Z56" s="182" t="str">
        <f>데이터입력!$AB$8</f>
        <v>00</v>
      </c>
      <c r="AA56" s="185" t="str">
        <f>데이터입력!$AC$9</f>
        <v>일반사업[일반]</v>
      </c>
      <c r="AB56" s="183" t="str">
        <f>IFERROR(IF(데이터입력!$AE$2="추경",VLOOKUP($A56,#REF!,4,FALSE),""),"")</f>
        <v/>
      </c>
      <c r="AC56" s="183" t="str">
        <f>IFERROR(IF(데이터입력!$AE$2="추경",VLOOKUP($A56,#REF!,5,FALSE),""),"")</f>
        <v/>
      </c>
      <c r="AD56" s="183" t="str">
        <f>IFERROR(IF(데이터입력!$AE$2="추경",VLOOKUP($A56,#REF!,6,FALSE),""),"")</f>
        <v/>
      </c>
      <c r="AE56" s="183" t="str">
        <f>IFERROR(IF(데이터입력!$AE$2="추경",VLOOKUP($A56,#REF!,7,FALSE),""),"")</f>
        <v/>
      </c>
      <c r="AF56" s="183"/>
      <c r="AG56" s="184" t="str">
        <f>IFERROR(IF(데이터입력!$AE$2="추경",VLOOKUP($A56,#REF!,9,FALSE),""),"")</f>
        <v/>
      </c>
      <c r="AH56" s="184" t="str">
        <f>IFERROR(IF(데이터입력!$AE$2="추경",VLOOKUP($A56,#REF!,10,FALSE),""),"")</f>
        <v/>
      </c>
      <c r="AI56" s="184" t="str">
        <f>IFERROR(IF(데이터입력!$AE$2="추경",VLOOKUP($A56,#REF!,11,FALSE),""),"")</f>
        <v/>
      </c>
      <c r="AJ56" s="184" t="str">
        <f>IFERROR(IF(데이터입력!$AE$2="추경",VLOOKUP($A56,#REF!,12,FALSE),""),"")</f>
        <v/>
      </c>
      <c r="AK56" s="184" t="str">
        <f>IFERROR(IF(데이터입력!$AE$2="추경",VLOOKUP($A56,#REF!,13,FALSE),""),"")</f>
        <v/>
      </c>
    </row>
    <row r="57" spans="1:37">
      <c r="A57" s="180">
        <v>55</v>
      </c>
      <c r="B57" s="608" t="str">
        <f>IFERROR(IF(F57="06",데이터입력!$AB$8,IF(F57="07",데이터입력!$AD$8,IF(F57="05",데이터입력!$AF$8,데이터입력!$AB$8))),데이터입력!$AB$8)</f>
        <v>00</v>
      </c>
      <c r="C57" s="609" t="str">
        <f>데이터입력!$AC$9</f>
        <v>일반사업[일반]</v>
      </c>
      <c r="D57" s="610" t="str">
        <f>IFERROR(IF(AND(데이터입력!$AE$2="추경",데이터입력!$AM$2=TRUE),VLOOKUP($A57,데이터입력!$A:$H,4,FALSE),""),"")</f>
        <v/>
      </c>
      <c r="E57" s="610" t="str">
        <f>IFERROR(IF(AND(데이터입력!$AE$2="추경",데이터입력!$AM$2=TRUE),VLOOKUP($A57,데이터입력!$A:$H,2,FALSE),""),"")</f>
        <v/>
      </c>
      <c r="F57" s="610" t="str">
        <f>IFERROR(IF(AND(데이터입력!$AE$2="추경",데이터입력!$AM$2=TRUE),VLOOKUP($A57,데이터입력!$A:$H,5,FALSE),""),"")</f>
        <v/>
      </c>
      <c r="G57" s="610" t="str">
        <f>IFERROR(IF(AND(데이터입력!$AE$2="추경",데이터입력!$AM$2=TRUE),VLOOKUP($A57,데이터입력!$A:$H,6,FALSE),""),"")</f>
        <v/>
      </c>
      <c r="H57" s="611" t="str">
        <f>IFERROR(IF(AND(데이터입력!$AE$2="추경",데이터입력!$AM$2=TRUE),VLOOKUP($A57,데이터입력!$A:$L,7,FALSE),""),"")</f>
        <v/>
      </c>
      <c r="I57" s="611" t="str">
        <f>IFERROR(IF(AND(데이터입력!$AE$2="추경",데이터입력!$AM$2=TRUE),VLOOKUP($A57,데이터입력!$A:$L,8,FALSE)+VLOOKUP($A57,데이터입력!$A:$L,9,FALSE)+VLOOKUP($A57,데이터입력!$A:$L,10,FALSE),""),"")</f>
        <v/>
      </c>
      <c r="J57" s="612" t="s">
        <v>135</v>
      </c>
      <c r="K57" s="612" t="s">
        <v>135</v>
      </c>
      <c r="L57" s="612" t="s">
        <v>135</v>
      </c>
      <c r="M57" s="604"/>
      <c r="N57" s="180">
        <v>255</v>
      </c>
      <c r="O57" s="616" t="str">
        <f>IFERROR(IF(S57="06",데이터입력!$AB$8,IF(S57="07",데이터입력!$AD$8,IF(S57="05",데이터입력!$AF$8,데이터입력!$AB$8))),데이터입력!$AB$8)</f>
        <v>00</v>
      </c>
      <c r="P57" s="617" t="str">
        <f>데이터입력!$AC$9</f>
        <v>일반사업[일반]</v>
      </c>
      <c r="Q57" s="618" t="str">
        <f>IFERROR(IF(데이터입력!$AE$2="추경",VLOOKUP($N57,데이터입력!$A:$H,4,FALSE),""),"")</f>
        <v/>
      </c>
      <c r="R57" s="618" t="str">
        <f>IFERROR(IF(데이터입력!$AE$2="추경",VLOOKUP($N57,데이터입력!$A:$H,2,FALSE),""),"")</f>
        <v/>
      </c>
      <c r="S57" s="618" t="str">
        <f>IFERROR(IF(데이터입력!$AE$2="추경",VLOOKUP($N57,데이터입력!$A:$H,5,FALSE),""),"")</f>
        <v/>
      </c>
      <c r="T57" s="618" t="str">
        <f>IFERROR(IF(데이터입력!$AE$2="추경",VLOOKUP($N57,데이터입력!$A:$H,6,FALSE),""),"")</f>
        <v/>
      </c>
      <c r="U57" s="619" t="str">
        <f>IFERROR(IF(데이터입력!$AE$2="추경",VLOOKUP($N57,데이터입력!$A:$L,8,FALSE)+VLOOKUP($N57,데이터입력!$A:$L,9,FALSE)+VLOOKUP($N57,데이터입력!$A:$L,10,FALSE),""),"")</f>
        <v/>
      </c>
      <c r="V57" s="620" t="s">
        <v>135</v>
      </c>
      <c r="W57" s="620" t="s">
        <v>135</v>
      </c>
      <c r="X57" s="620" t="s">
        <v>135</v>
      </c>
      <c r="Y57" s="601"/>
      <c r="Z57" s="182" t="str">
        <f>데이터입력!$AB$8</f>
        <v>00</v>
      </c>
      <c r="AA57" s="185" t="str">
        <f>데이터입력!$AC$9</f>
        <v>일반사업[일반]</v>
      </c>
      <c r="AB57" s="183" t="str">
        <f>IFERROR(IF(데이터입력!$AE$2="추경",VLOOKUP($A57,#REF!,4,FALSE),""),"")</f>
        <v/>
      </c>
      <c r="AC57" s="183" t="str">
        <f>IFERROR(IF(데이터입력!$AE$2="추경",VLOOKUP($A57,#REF!,5,FALSE),""),"")</f>
        <v/>
      </c>
      <c r="AD57" s="183" t="str">
        <f>IFERROR(IF(데이터입력!$AE$2="추경",VLOOKUP($A57,#REF!,6,FALSE),""),"")</f>
        <v/>
      </c>
      <c r="AE57" s="183" t="str">
        <f>IFERROR(IF(데이터입력!$AE$2="추경",VLOOKUP($A57,#REF!,7,FALSE),""),"")</f>
        <v/>
      </c>
      <c r="AF57" s="183"/>
      <c r="AG57" s="184" t="str">
        <f>IFERROR(IF(데이터입력!$AE$2="추경",VLOOKUP($A57,#REF!,9,FALSE),""),"")</f>
        <v/>
      </c>
      <c r="AH57" s="184" t="str">
        <f>IFERROR(IF(데이터입력!$AE$2="추경",VLOOKUP($A57,#REF!,10,FALSE),""),"")</f>
        <v/>
      </c>
      <c r="AI57" s="184" t="str">
        <f>IFERROR(IF(데이터입력!$AE$2="추경",VLOOKUP($A57,#REF!,11,FALSE),""),"")</f>
        <v/>
      </c>
      <c r="AJ57" s="184" t="str">
        <f>IFERROR(IF(데이터입력!$AE$2="추경",VLOOKUP($A57,#REF!,12,FALSE),""),"")</f>
        <v/>
      </c>
      <c r="AK57" s="184" t="str">
        <f>IFERROR(IF(데이터입력!$AE$2="추경",VLOOKUP($A57,#REF!,13,FALSE),""),"")</f>
        <v/>
      </c>
    </row>
    <row r="58" spans="1:37">
      <c r="A58" s="180">
        <v>56</v>
      </c>
      <c r="B58" s="608" t="str">
        <f>IFERROR(IF(F58="06",데이터입력!$AB$8,IF(F58="07",데이터입력!$AD$8,IF(F58="05",데이터입력!$AF$8,데이터입력!$AB$8))),데이터입력!$AB$8)</f>
        <v>00</v>
      </c>
      <c r="C58" s="609" t="str">
        <f>데이터입력!$AC$9</f>
        <v>일반사업[일반]</v>
      </c>
      <c r="D58" s="610" t="str">
        <f>IFERROR(IF(AND(데이터입력!$AE$2="추경",데이터입력!$AM$2=TRUE),VLOOKUP($A58,데이터입력!$A:$H,4,FALSE),""),"")</f>
        <v/>
      </c>
      <c r="E58" s="610" t="str">
        <f>IFERROR(IF(AND(데이터입력!$AE$2="추경",데이터입력!$AM$2=TRUE),VLOOKUP($A58,데이터입력!$A:$H,2,FALSE),""),"")</f>
        <v/>
      </c>
      <c r="F58" s="610" t="str">
        <f>IFERROR(IF(AND(데이터입력!$AE$2="추경",데이터입력!$AM$2=TRUE),VLOOKUP($A58,데이터입력!$A:$H,5,FALSE),""),"")</f>
        <v/>
      </c>
      <c r="G58" s="610" t="str">
        <f>IFERROR(IF(AND(데이터입력!$AE$2="추경",데이터입력!$AM$2=TRUE),VLOOKUP($A58,데이터입력!$A:$H,6,FALSE),""),"")</f>
        <v/>
      </c>
      <c r="H58" s="611" t="str">
        <f>IFERROR(IF(AND(데이터입력!$AE$2="추경",데이터입력!$AM$2=TRUE),VLOOKUP($A58,데이터입력!$A:$L,7,FALSE),""),"")</f>
        <v/>
      </c>
      <c r="I58" s="611" t="str">
        <f>IFERROR(IF(AND(데이터입력!$AE$2="추경",데이터입력!$AM$2=TRUE),VLOOKUP($A58,데이터입력!$A:$L,8,FALSE)+VLOOKUP($A58,데이터입력!$A:$L,9,FALSE)+VLOOKUP($A58,데이터입력!$A:$L,10,FALSE),""),"")</f>
        <v/>
      </c>
      <c r="J58" s="612" t="s">
        <v>135</v>
      </c>
      <c r="K58" s="612" t="s">
        <v>135</v>
      </c>
      <c r="L58" s="612" t="s">
        <v>135</v>
      </c>
      <c r="M58" s="604"/>
      <c r="N58" s="180">
        <v>256</v>
      </c>
      <c r="O58" s="616" t="str">
        <f>IFERROR(IF(S58="06",데이터입력!$AB$8,IF(S58="07",데이터입력!$AD$8,IF(S58="05",데이터입력!$AF$8,데이터입력!$AB$8))),데이터입력!$AB$8)</f>
        <v>00</v>
      </c>
      <c r="P58" s="617" t="str">
        <f>데이터입력!$AC$9</f>
        <v>일반사업[일반]</v>
      </c>
      <c r="Q58" s="618" t="str">
        <f>IFERROR(IF(데이터입력!$AE$2="추경",VLOOKUP($N58,데이터입력!$A:$H,4,FALSE),""),"")</f>
        <v/>
      </c>
      <c r="R58" s="618" t="str">
        <f>IFERROR(IF(데이터입력!$AE$2="추경",VLOOKUP($N58,데이터입력!$A:$H,2,FALSE),""),"")</f>
        <v/>
      </c>
      <c r="S58" s="618" t="str">
        <f>IFERROR(IF(데이터입력!$AE$2="추경",VLOOKUP($N58,데이터입력!$A:$H,5,FALSE),""),"")</f>
        <v/>
      </c>
      <c r="T58" s="618" t="str">
        <f>IFERROR(IF(데이터입력!$AE$2="추경",VLOOKUP($N58,데이터입력!$A:$H,6,FALSE),""),"")</f>
        <v/>
      </c>
      <c r="U58" s="619" t="str">
        <f>IFERROR(IF(데이터입력!$AE$2="추경",VLOOKUP($N58,데이터입력!$A:$L,8,FALSE)+VLOOKUP($N58,데이터입력!$A:$L,9,FALSE)+VLOOKUP($N58,데이터입력!$A:$L,10,FALSE),""),"")</f>
        <v/>
      </c>
      <c r="V58" s="620" t="s">
        <v>135</v>
      </c>
      <c r="W58" s="620" t="s">
        <v>135</v>
      </c>
      <c r="X58" s="620" t="s">
        <v>135</v>
      </c>
      <c r="Y58" s="600"/>
      <c r="Z58" s="182" t="str">
        <f>데이터입력!$AB$8</f>
        <v>00</v>
      </c>
      <c r="AA58" s="185" t="str">
        <f>데이터입력!$AC$9</f>
        <v>일반사업[일반]</v>
      </c>
      <c r="AB58" s="183" t="str">
        <f>IFERROR(IF(데이터입력!$AE$2="추경",VLOOKUP($A58,#REF!,4,FALSE),""),"")</f>
        <v/>
      </c>
      <c r="AC58" s="183" t="str">
        <f>IFERROR(IF(데이터입력!$AE$2="추경",VLOOKUP($A58,#REF!,5,FALSE),""),"")</f>
        <v/>
      </c>
      <c r="AD58" s="183" t="str">
        <f>IFERROR(IF(데이터입력!$AE$2="추경",VLOOKUP($A58,#REF!,6,FALSE),""),"")</f>
        <v/>
      </c>
      <c r="AE58" s="183" t="str">
        <f>IFERROR(IF(데이터입력!$AE$2="추경",VLOOKUP($A58,#REF!,7,FALSE),""),"")</f>
        <v/>
      </c>
      <c r="AF58" s="183"/>
      <c r="AG58" s="184" t="str">
        <f>IFERROR(IF(데이터입력!$AE$2="추경",VLOOKUP($A58,#REF!,9,FALSE),""),"")</f>
        <v/>
      </c>
      <c r="AH58" s="184" t="str">
        <f>IFERROR(IF(데이터입력!$AE$2="추경",VLOOKUP($A58,#REF!,10,FALSE),""),"")</f>
        <v/>
      </c>
      <c r="AI58" s="184" t="str">
        <f>IFERROR(IF(데이터입력!$AE$2="추경",VLOOKUP($A58,#REF!,11,FALSE),""),"")</f>
        <v/>
      </c>
      <c r="AJ58" s="184" t="str">
        <f>IFERROR(IF(데이터입력!$AE$2="추경",VLOOKUP($A58,#REF!,12,FALSE),""),"")</f>
        <v/>
      </c>
      <c r="AK58" s="184" t="str">
        <f>IFERROR(IF(데이터입력!$AE$2="추경",VLOOKUP($A58,#REF!,13,FALSE),""),"")</f>
        <v/>
      </c>
    </row>
    <row r="59" spans="1:37">
      <c r="A59" s="180">
        <v>57</v>
      </c>
      <c r="B59" s="608" t="str">
        <f>IFERROR(IF(F59="06",데이터입력!$AB$8,IF(F59="07",데이터입력!$AD$8,IF(F59="05",데이터입력!$AF$8,데이터입력!$AB$8))),데이터입력!$AB$8)</f>
        <v>00</v>
      </c>
      <c r="C59" s="609" t="str">
        <f>데이터입력!$AC$9</f>
        <v>일반사업[일반]</v>
      </c>
      <c r="D59" s="610" t="str">
        <f>IFERROR(IF(AND(데이터입력!$AE$2="추경",데이터입력!$AM$2=TRUE),VLOOKUP($A59,데이터입력!$A:$H,4,FALSE),""),"")</f>
        <v/>
      </c>
      <c r="E59" s="610" t="str">
        <f>IFERROR(IF(AND(데이터입력!$AE$2="추경",데이터입력!$AM$2=TRUE),VLOOKUP($A59,데이터입력!$A:$H,2,FALSE),""),"")</f>
        <v/>
      </c>
      <c r="F59" s="610" t="str">
        <f>IFERROR(IF(AND(데이터입력!$AE$2="추경",데이터입력!$AM$2=TRUE),VLOOKUP($A59,데이터입력!$A:$H,5,FALSE),""),"")</f>
        <v/>
      </c>
      <c r="G59" s="610" t="str">
        <f>IFERROR(IF(AND(데이터입력!$AE$2="추경",데이터입력!$AM$2=TRUE),VLOOKUP($A59,데이터입력!$A:$H,6,FALSE),""),"")</f>
        <v/>
      </c>
      <c r="H59" s="611" t="str">
        <f>IFERROR(IF(AND(데이터입력!$AE$2="추경",데이터입력!$AM$2=TRUE),VLOOKUP($A59,데이터입력!$A:$L,7,FALSE),""),"")</f>
        <v/>
      </c>
      <c r="I59" s="611" t="str">
        <f>IFERROR(IF(AND(데이터입력!$AE$2="추경",데이터입력!$AM$2=TRUE),VLOOKUP($A59,데이터입력!$A:$L,8,FALSE)+VLOOKUP($A59,데이터입력!$A:$L,9,FALSE)+VLOOKUP($A59,데이터입력!$A:$L,10,FALSE),""),"")</f>
        <v/>
      </c>
      <c r="J59" s="612" t="s">
        <v>135</v>
      </c>
      <c r="K59" s="612" t="s">
        <v>135</v>
      </c>
      <c r="L59" s="612" t="s">
        <v>135</v>
      </c>
      <c r="M59" s="604"/>
      <c r="N59" s="180">
        <v>257</v>
      </c>
      <c r="O59" s="616" t="str">
        <f>IFERROR(IF(S59="06",데이터입력!$AB$8,IF(S59="07",데이터입력!$AD$8,IF(S59="05",데이터입력!$AF$8,데이터입력!$AB$8))),데이터입력!$AB$8)</f>
        <v>00</v>
      </c>
      <c r="P59" s="617" t="str">
        <f>데이터입력!$AC$9</f>
        <v>일반사업[일반]</v>
      </c>
      <c r="Q59" s="618" t="str">
        <f>IFERROR(IF(데이터입력!$AE$2="추경",VLOOKUP($N59,데이터입력!$A:$H,4,FALSE),""),"")</f>
        <v/>
      </c>
      <c r="R59" s="618" t="str">
        <f>IFERROR(IF(데이터입력!$AE$2="추경",VLOOKUP($N59,데이터입력!$A:$H,2,FALSE),""),"")</f>
        <v/>
      </c>
      <c r="S59" s="618" t="str">
        <f>IFERROR(IF(데이터입력!$AE$2="추경",VLOOKUP($N59,데이터입력!$A:$H,5,FALSE),""),"")</f>
        <v/>
      </c>
      <c r="T59" s="618" t="str">
        <f>IFERROR(IF(데이터입력!$AE$2="추경",VLOOKUP($N59,데이터입력!$A:$H,6,FALSE),""),"")</f>
        <v/>
      </c>
      <c r="U59" s="619" t="str">
        <f>IFERROR(IF(데이터입력!$AE$2="추경",VLOOKUP($N59,데이터입력!$A:$L,8,FALSE)+VLOOKUP($N59,데이터입력!$A:$L,9,FALSE)+VLOOKUP($N59,데이터입력!$A:$L,10,FALSE),""),"")</f>
        <v/>
      </c>
      <c r="V59" s="620" t="s">
        <v>135</v>
      </c>
      <c r="W59" s="620" t="s">
        <v>135</v>
      </c>
      <c r="X59" s="620" t="s">
        <v>135</v>
      </c>
      <c r="Y59" s="601"/>
      <c r="Z59" s="182" t="str">
        <f>데이터입력!$AB$8</f>
        <v>00</v>
      </c>
      <c r="AA59" s="185" t="str">
        <f>데이터입력!$AC$9</f>
        <v>일반사업[일반]</v>
      </c>
      <c r="AB59" s="183" t="str">
        <f>IFERROR(IF(데이터입력!$AE$2="추경",VLOOKUP($A59,#REF!,4,FALSE),""),"")</f>
        <v/>
      </c>
      <c r="AC59" s="183" t="str">
        <f>IFERROR(IF(데이터입력!$AE$2="추경",VLOOKUP($A59,#REF!,5,FALSE),""),"")</f>
        <v/>
      </c>
      <c r="AD59" s="183" t="str">
        <f>IFERROR(IF(데이터입력!$AE$2="추경",VLOOKUP($A59,#REF!,6,FALSE),""),"")</f>
        <v/>
      </c>
      <c r="AE59" s="183" t="str">
        <f>IFERROR(IF(데이터입력!$AE$2="추경",VLOOKUP($A59,#REF!,7,FALSE),""),"")</f>
        <v/>
      </c>
      <c r="AF59" s="183"/>
      <c r="AG59" s="184" t="str">
        <f>IFERROR(IF(데이터입력!$AE$2="추경",VLOOKUP($A59,#REF!,9,FALSE),""),"")</f>
        <v/>
      </c>
      <c r="AH59" s="184" t="str">
        <f>IFERROR(IF(데이터입력!$AE$2="추경",VLOOKUP($A59,#REF!,10,FALSE),""),"")</f>
        <v/>
      </c>
      <c r="AI59" s="184" t="str">
        <f>IFERROR(IF(데이터입력!$AE$2="추경",VLOOKUP($A59,#REF!,11,FALSE),""),"")</f>
        <v/>
      </c>
      <c r="AJ59" s="184" t="str">
        <f>IFERROR(IF(데이터입력!$AE$2="추경",VLOOKUP($A59,#REF!,12,FALSE),""),"")</f>
        <v/>
      </c>
      <c r="AK59" s="184" t="str">
        <f>IFERROR(IF(데이터입력!$AE$2="추경",VLOOKUP($A59,#REF!,13,FALSE),""),"")</f>
        <v/>
      </c>
    </row>
    <row r="60" spans="1:37">
      <c r="A60" s="180">
        <v>58</v>
      </c>
      <c r="B60" s="608" t="str">
        <f>IFERROR(IF(F60="06",데이터입력!$AB$8,IF(F60="07",데이터입력!$AD$8,IF(F60="05",데이터입력!$AF$8,데이터입력!$AB$8))),데이터입력!$AB$8)</f>
        <v>00</v>
      </c>
      <c r="C60" s="609" t="str">
        <f>데이터입력!$AC$9</f>
        <v>일반사업[일반]</v>
      </c>
      <c r="D60" s="610" t="str">
        <f>IFERROR(IF(AND(데이터입력!$AE$2="추경",데이터입력!$AM$2=TRUE),VLOOKUP($A60,데이터입력!$A:$H,4,FALSE),""),"")</f>
        <v/>
      </c>
      <c r="E60" s="610" t="str">
        <f>IFERROR(IF(AND(데이터입력!$AE$2="추경",데이터입력!$AM$2=TRUE),VLOOKUP($A60,데이터입력!$A:$H,2,FALSE),""),"")</f>
        <v/>
      </c>
      <c r="F60" s="610" t="str">
        <f>IFERROR(IF(AND(데이터입력!$AE$2="추경",데이터입력!$AM$2=TRUE),VLOOKUP($A60,데이터입력!$A:$H,5,FALSE),""),"")</f>
        <v/>
      </c>
      <c r="G60" s="610" t="str">
        <f>IFERROR(IF(AND(데이터입력!$AE$2="추경",데이터입력!$AM$2=TRUE),VLOOKUP($A60,데이터입력!$A:$H,6,FALSE),""),"")</f>
        <v/>
      </c>
      <c r="H60" s="611" t="str">
        <f>IFERROR(IF(AND(데이터입력!$AE$2="추경",데이터입력!$AM$2=TRUE),VLOOKUP($A60,데이터입력!$A:$L,7,FALSE),""),"")</f>
        <v/>
      </c>
      <c r="I60" s="611" t="str">
        <f>IFERROR(IF(AND(데이터입력!$AE$2="추경",데이터입력!$AM$2=TRUE),VLOOKUP($A60,데이터입력!$A:$L,8,FALSE)+VLOOKUP($A60,데이터입력!$A:$L,9,FALSE)+VLOOKUP($A60,데이터입력!$A:$L,10,FALSE),""),"")</f>
        <v/>
      </c>
      <c r="J60" s="612" t="s">
        <v>135</v>
      </c>
      <c r="K60" s="612" t="s">
        <v>135</v>
      </c>
      <c r="L60" s="612" t="s">
        <v>135</v>
      </c>
      <c r="M60" s="604"/>
      <c r="N60" s="180">
        <v>258</v>
      </c>
      <c r="O60" s="616" t="str">
        <f>IFERROR(IF(S60="06",데이터입력!$AB$8,IF(S60="07",데이터입력!$AD$8,IF(S60="05",데이터입력!$AF$8,데이터입력!$AB$8))),데이터입력!$AB$8)</f>
        <v>00</v>
      </c>
      <c r="P60" s="617" t="str">
        <f>데이터입력!$AC$9</f>
        <v>일반사업[일반]</v>
      </c>
      <c r="Q60" s="618" t="str">
        <f>IFERROR(IF(데이터입력!$AE$2="추경",VLOOKUP($N60,데이터입력!$A:$H,4,FALSE),""),"")</f>
        <v/>
      </c>
      <c r="R60" s="618" t="str">
        <f>IFERROR(IF(데이터입력!$AE$2="추경",VLOOKUP($N60,데이터입력!$A:$H,2,FALSE),""),"")</f>
        <v/>
      </c>
      <c r="S60" s="618" t="str">
        <f>IFERROR(IF(데이터입력!$AE$2="추경",VLOOKUP($N60,데이터입력!$A:$H,5,FALSE),""),"")</f>
        <v/>
      </c>
      <c r="T60" s="618" t="str">
        <f>IFERROR(IF(데이터입력!$AE$2="추경",VLOOKUP($N60,데이터입력!$A:$H,6,FALSE),""),"")</f>
        <v/>
      </c>
      <c r="U60" s="619" t="str">
        <f>IFERROR(IF(데이터입력!$AE$2="추경",VLOOKUP($N60,데이터입력!$A:$L,8,FALSE)+VLOOKUP($N60,데이터입력!$A:$L,9,FALSE)+VLOOKUP($N60,데이터입력!$A:$L,10,FALSE),""),"")</f>
        <v/>
      </c>
      <c r="V60" s="620" t="s">
        <v>135</v>
      </c>
      <c r="W60" s="620" t="s">
        <v>135</v>
      </c>
      <c r="X60" s="620" t="s">
        <v>135</v>
      </c>
      <c r="Y60" s="600"/>
      <c r="Z60" s="182" t="str">
        <f>데이터입력!$AB$8</f>
        <v>00</v>
      </c>
      <c r="AA60" s="185" t="str">
        <f>데이터입력!$AC$9</f>
        <v>일반사업[일반]</v>
      </c>
      <c r="AB60" s="183" t="str">
        <f>IFERROR(IF(데이터입력!$AE$2="추경",VLOOKUP($A60,#REF!,4,FALSE),""),"")</f>
        <v/>
      </c>
      <c r="AC60" s="183" t="str">
        <f>IFERROR(IF(데이터입력!$AE$2="추경",VLOOKUP($A60,#REF!,5,FALSE),""),"")</f>
        <v/>
      </c>
      <c r="AD60" s="183" t="str">
        <f>IFERROR(IF(데이터입력!$AE$2="추경",VLOOKUP($A60,#REF!,6,FALSE),""),"")</f>
        <v/>
      </c>
      <c r="AE60" s="183" t="str">
        <f>IFERROR(IF(데이터입력!$AE$2="추경",VLOOKUP($A60,#REF!,7,FALSE),""),"")</f>
        <v/>
      </c>
      <c r="AF60" s="183"/>
      <c r="AG60" s="184" t="str">
        <f>IFERROR(IF(데이터입력!$AE$2="추경",VLOOKUP($A60,#REF!,9,FALSE),""),"")</f>
        <v/>
      </c>
      <c r="AH60" s="184" t="str">
        <f>IFERROR(IF(데이터입력!$AE$2="추경",VLOOKUP($A60,#REF!,10,FALSE),""),"")</f>
        <v/>
      </c>
      <c r="AI60" s="184" t="str">
        <f>IFERROR(IF(데이터입력!$AE$2="추경",VLOOKUP($A60,#REF!,11,FALSE),""),"")</f>
        <v/>
      </c>
      <c r="AJ60" s="184" t="str">
        <f>IFERROR(IF(데이터입력!$AE$2="추경",VLOOKUP($A60,#REF!,12,FALSE),""),"")</f>
        <v/>
      </c>
      <c r="AK60" s="184" t="str">
        <f>IFERROR(IF(데이터입력!$AE$2="추경",VLOOKUP($A60,#REF!,13,FALSE),""),"")</f>
        <v/>
      </c>
    </row>
    <row r="61" spans="1:37">
      <c r="A61" s="180">
        <v>59</v>
      </c>
      <c r="B61" s="608" t="str">
        <f>IFERROR(IF(F61="06",데이터입력!$AB$8,IF(F61="07",데이터입력!$AD$8,IF(F61="05",데이터입력!$AF$8,데이터입력!$AB$8))),데이터입력!$AB$8)</f>
        <v>00</v>
      </c>
      <c r="C61" s="609" t="str">
        <f>데이터입력!$AC$9</f>
        <v>일반사업[일반]</v>
      </c>
      <c r="D61" s="610" t="str">
        <f>IFERROR(IF(AND(데이터입력!$AE$2="추경",데이터입력!$AM$2=TRUE),VLOOKUP($A61,데이터입력!$A:$H,4,FALSE),""),"")</f>
        <v/>
      </c>
      <c r="E61" s="610" t="str">
        <f>IFERROR(IF(AND(데이터입력!$AE$2="추경",데이터입력!$AM$2=TRUE),VLOOKUP($A61,데이터입력!$A:$H,2,FALSE),""),"")</f>
        <v/>
      </c>
      <c r="F61" s="610" t="str">
        <f>IFERROR(IF(AND(데이터입력!$AE$2="추경",데이터입력!$AM$2=TRUE),VLOOKUP($A61,데이터입력!$A:$H,5,FALSE),""),"")</f>
        <v/>
      </c>
      <c r="G61" s="610" t="str">
        <f>IFERROR(IF(AND(데이터입력!$AE$2="추경",데이터입력!$AM$2=TRUE),VLOOKUP($A61,데이터입력!$A:$H,6,FALSE),""),"")</f>
        <v/>
      </c>
      <c r="H61" s="611" t="str">
        <f>IFERROR(IF(AND(데이터입력!$AE$2="추경",데이터입력!$AM$2=TRUE),VLOOKUP($A61,데이터입력!$A:$L,7,FALSE),""),"")</f>
        <v/>
      </c>
      <c r="I61" s="611" t="str">
        <f>IFERROR(IF(AND(데이터입력!$AE$2="추경",데이터입력!$AM$2=TRUE),VLOOKUP($A61,데이터입력!$A:$L,8,FALSE)+VLOOKUP($A61,데이터입력!$A:$L,9,FALSE)+VLOOKUP($A61,데이터입력!$A:$L,10,FALSE),""),"")</f>
        <v/>
      </c>
      <c r="J61" s="612" t="s">
        <v>135</v>
      </c>
      <c r="K61" s="612" t="s">
        <v>135</v>
      </c>
      <c r="L61" s="612" t="s">
        <v>135</v>
      </c>
      <c r="M61" s="604"/>
      <c r="N61" s="180">
        <v>259</v>
      </c>
      <c r="O61" s="616" t="str">
        <f>IFERROR(IF(S61="06",데이터입력!$AB$8,IF(S61="07",데이터입력!$AD$8,IF(S61="05",데이터입력!$AF$8,데이터입력!$AB$8))),데이터입력!$AB$8)</f>
        <v>00</v>
      </c>
      <c r="P61" s="617" t="str">
        <f>데이터입력!$AC$9</f>
        <v>일반사업[일반]</v>
      </c>
      <c r="Q61" s="618" t="str">
        <f>IFERROR(IF(데이터입력!$AE$2="추경",VLOOKUP($N61,데이터입력!$A:$H,4,FALSE),""),"")</f>
        <v/>
      </c>
      <c r="R61" s="618" t="str">
        <f>IFERROR(IF(데이터입력!$AE$2="추경",VLOOKUP($N61,데이터입력!$A:$H,2,FALSE),""),"")</f>
        <v/>
      </c>
      <c r="S61" s="618" t="str">
        <f>IFERROR(IF(데이터입력!$AE$2="추경",VLOOKUP($N61,데이터입력!$A:$H,5,FALSE),""),"")</f>
        <v/>
      </c>
      <c r="T61" s="618" t="str">
        <f>IFERROR(IF(데이터입력!$AE$2="추경",VLOOKUP($N61,데이터입력!$A:$H,6,FALSE),""),"")</f>
        <v/>
      </c>
      <c r="U61" s="619" t="str">
        <f>IFERROR(IF(데이터입력!$AE$2="추경",VLOOKUP($N61,데이터입력!$A:$L,8,FALSE)+VLOOKUP($N61,데이터입력!$A:$L,9,FALSE)+VLOOKUP($N61,데이터입력!$A:$L,10,FALSE),""),"")</f>
        <v/>
      </c>
      <c r="V61" s="620" t="s">
        <v>135</v>
      </c>
      <c r="W61" s="620" t="s">
        <v>135</v>
      </c>
      <c r="X61" s="620" t="s">
        <v>135</v>
      </c>
      <c r="Y61" s="601"/>
      <c r="Z61" s="182" t="str">
        <f>데이터입력!$AB$8</f>
        <v>00</v>
      </c>
      <c r="AA61" s="185" t="str">
        <f>데이터입력!$AC$9</f>
        <v>일반사업[일반]</v>
      </c>
      <c r="AB61" s="183" t="str">
        <f>IFERROR(IF(데이터입력!$AE$2="추경",VLOOKUP($A61,#REF!,4,FALSE),""),"")</f>
        <v/>
      </c>
      <c r="AC61" s="183" t="str">
        <f>IFERROR(IF(데이터입력!$AE$2="추경",VLOOKUP($A61,#REF!,5,FALSE),""),"")</f>
        <v/>
      </c>
      <c r="AD61" s="183" t="str">
        <f>IFERROR(IF(데이터입력!$AE$2="추경",VLOOKUP($A61,#REF!,6,FALSE),""),"")</f>
        <v/>
      </c>
      <c r="AE61" s="183" t="str">
        <f>IFERROR(IF(데이터입력!$AE$2="추경",VLOOKUP($A61,#REF!,7,FALSE),""),"")</f>
        <v/>
      </c>
      <c r="AF61" s="183"/>
      <c r="AG61" s="184" t="str">
        <f>IFERROR(IF(데이터입력!$AE$2="추경",VLOOKUP($A61,#REF!,9,FALSE),""),"")</f>
        <v/>
      </c>
      <c r="AH61" s="184" t="str">
        <f>IFERROR(IF(데이터입력!$AE$2="추경",VLOOKUP($A61,#REF!,10,FALSE),""),"")</f>
        <v/>
      </c>
      <c r="AI61" s="184" t="str">
        <f>IFERROR(IF(데이터입력!$AE$2="추경",VLOOKUP($A61,#REF!,11,FALSE),""),"")</f>
        <v/>
      </c>
      <c r="AJ61" s="184" t="str">
        <f>IFERROR(IF(데이터입력!$AE$2="추경",VLOOKUP($A61,#REF!,12,FALSE),""),"")</f>
        <v/>
      </c>
      <c r="AK61" s="184" t="str">
        <f>IFERROR(IF(데이터입력!$AE$2="추경",VLOOKUP($A61,#REF!,13,FALSE),""),"")</f>
        <v/>
      </c>
    </row>
    <row r="62" spans="1:37">
      <c r="A62" s="180">
        <v>60</v>
      </c>
      <c r="B62" s="608" t="str">
        <f>IFERROR(IF(F62="06",데이터입력!$AB$8,IF(F62="07",데이터입력!$AD$8,IF(F62="05",데이터입력!$AF$8,데이터입력!$AB$8))),데이터입력!$AB$8)</f>
        <v>00</v>
      </c>
      <c r="C62" s="609" t="str">
        <f>데이터입력!$AC$9</f>
        <v>일반사업[일반]</v>
      </c>
      <c r="D62" s="610" t="str">
        <f>IFERROR(IF(AND(데이터입력!$AE$2="추경",데이터입력!$AM$2=TRUE),VLOOKUP($A62,데이터입력!$A:$H,4,FALSE),""),"")</f>
        <v/>
      </c>
      <c r="E62" s="610" t="str">
        <f>IFERROR(IF(AND(데이터입력!$AE$2="추경",데이터입력!$AM$2=TRUE),VLOOKUP($A62,데이터입력!$A:$H,2,FALSE),""),"")</f>
        <v/>
      </c>
      <c r="F62" s="610" t="str">
        <f>IFERROR(IF(AND(데이터입력!$AE$2="추경",데이터입력!$AM$2=TRUE),VLOOKUP($A62,데이터입력!$A:$H,5,FALSE),""),"")</f>
        <v/>
      </c>
      <c r="G62" s="610" t="str">
        <f>IFERROR(IF(AND(데이터입력!$AE$2="추경",데이터입력!$AM$2=TRUE),VLOOKUP($A62,데이터입력!$A:$H,6,FALSE),""),"")</f>
        <v/>
      </c>
      <c r="H62" s="611" t="str">
        <f>IFERROR(IF(AND(데이터입력!$AE$2="추경",데이터입력!$AM$2=TRUE),VLOOKUP($A62,데이터입력!$A:$L,7,FALSE),""),"")</f>
        <v/>
      </c>
      <c r="I62" s="611" t="str">
        <f>IFERROR(IF(AND(데이터입력!$AE$2="추경",데이터입력!$AM$2=TRUE),VLOOKUP($A62,데이터입력!$A:$L,8,FALSE)+VLOOKUP($A62,데이터입력!$A:$L,9,FALSE)+VLOOKUP($A62,데이터입력!$A:$L,10,FALSE),""),"")</f>
        <v/>
      </c>
      <c r="J62" s="612" t="s">
        <v>135</v>
      </c>
      <c r="K62" s="612" t="s">
        <v>135</v>
      </c>
      <c r="L62" s="612" t="s">
        <v>135</v>
      </c>
      <c r="M62" s="604"/>
      <c r="N62" s="180">
        <v>260</v>
      </c>
      <c r="O62" s="616" t="str">
        <f>IFERROR(IF(S62="06",데이터입력!$AB$8,IF(S62="07",데이터입력!$AD$8,IF(S62="05",데이터입력!$AF$8,데이터입력!$AB$8))),데이터입력!$AB$8)</f>
        <v>00</v>
      </c>
      <c r="P62" s="617" t="str">
        <f>데이터입력!$AC$9</f>
        <v>일반사업[일반]</v>
      </c>
      <c r="Q62" s="618" t="str">
        <f>IFERROR(IF(데이터입력!$AE$2="추경",VLOOKUP($N62,데이터입력!$A:$H,4,FALSE),""),"")</f>
        <v/>
      </c>
      <c r="R62" s="618" t="str">
        <f>IFERROR(IF(데이터입력!$AE$2="추경",VLOOKUP($N62,데이터입력!$A:$H,2,FALSE),""),"")</f>
        <v/>
      </c>
      <c r="S62" s="618" t="str">
        <f>IFERROR(IF(데이터입력!$AE$2="추경",VLOOKUP($N62,데이터입력!$A:$H,5,FALSE),""),"")</f>
        <v/>
      </c>
      <c r="T62" s="618" t="str">
        <f>IFERROR(IF(데이터입력!$AE$2="추경",VLOOKUP($N62,데이터입력!$A:$H,6,FALSE),""),"")</f>
        <v/>
      </c>
      <c r="U62" s="619" t="str">
        <f>IFERROR(IF(데이터입력!$AE$2="추경",VLOOKUP($N62,데이터입력!$A:$L,8,FALSE)+VLOOKUP($N62,데이터입력!$A:$L,9,FALSE)+VLOOKUP($N62,데이터입력!$A:$L,10,FALSE),""),"")</f>
        <v/>
      </c>
      <c r="V62" s="620" t="s">
        <v>135</v>
      </c>
      <c r="W62" s="620" t="s">
        <v>135</v>
      </c>
      <c r="X62" s="620" t="s">
        <v>135</v>
      </c>
      <c r="Y62" s="600"/>
      <c r="Z62" s="182" t="str">
        <f>데이터입력!$AB$8</f>
        <v>00</v>
      </c>
      <c r="AA62" s="185" t="str">
        <f>데이터입력!$AC$9</f>
        <v>일반사업[일반]</v>
      </c>
      <c r="AB62" s="183" t="str">
        <f>IFERROR(IF(데이터입력!$AE$2="추경",VLOOKUP($A62,#REF!,4,FALSE),""),"")</f>
        <v/>
      </c>
      <c r="AC62" s="183" t="str">
        <f>IFERROR(IF(데이터입력!$AE$2="추경",VLOOKUP($A62,#REF!,5,FALSE),""),"")</f>
        <v/>
      </c>
      <c r="AD62" s="183" t="str">
        <f>IFERROR(IF(데이터입력!$AE$2="추경",VLOOKUP($A62,#REF!,6,FALSE),""),"")</f>
        <v/>
      </c>
      <c r="AE62" s="183" t="str">
        <f>IFERROR(IF(데이터입력!$AE$2="추경",VLOOKUP($A62,#REF!,7,FALSE),""),"")</f>
        <v/>
      </c>
      <c r="AF62" s="183"/>
      <c r="AG62" s="184" t="str">
        <f>IFERROR(IF(데이터입력!$AE$2="추경",VLOOKUP($A62,#REF!,9,FALSE),""),"")</f>
        <v/>
      </c>
      <c r="AH62" s="184" t="str">
        <f>IFERROR(IF(데이터입력!$AE$2="추경",VLOOKUP($A62,#REF!,10,FALSE),""),"")</f>
        <v/>
      </c>
      <c r="AI62" s="184" t="str">
        <f>IFERROR(IF(데이터입력!$AE$2="추경",VLOOKUP($A62,#REF!,11,FALSE),""),"")</f>
        <v/>
      </c>
      <c r="AJ62" s="184" t="str">
        <f>IFERROR(IF(데이터입력!$AE$2="추경",VLOOKUP($A62,#REF!,12,FALSE),""),"")</f>
        <v/>
      </c>
      <c r="AK62" s="184" t="str">
        <f>IFERROR(IF(데이터입력!$AE$2="추경",VLOOKUP($A62,#REF!,13,FALSE),""),"")</f>
        <v/>
      </c>
    </row>
    <row r="63" spans="1:37">
      <c r="A63" s="180">
        <v>61</v>
      </c>
      <c r="B63" s="608" t="str">
        <f>IFERROR(IF(F63="06",데이터입력!$AB$8,IF(F63="07",데이터입력!$AD$8,IF(F63="05",데이터입력!$AF$8,데이터입력!$AB$8))),데이터입력!$AB$8)</f>
        <v>00</v>
      </c>
      <c r="C63" s="609" t="str">
        <f>데이터입력!$AC$9</f>
        <v>일반사업[일반]</v>
      </c>
      <c r="D63" s="610" t="str">
        <f>IFERROR(IF(AND(데이터입력!$AE$2="추경",데이터입력!$AM$2=TRUE),VLOOKUP($A63,데이터입력!$A:$H,4,FALSE),""),"")</f>
        <v/>
      </c>
      <c r="E63" s="610" t="str">
        <f>IFERROR(IF(AND(데이터입력!$AE$2="추경",데이터입력!$AM$2=TRUE),VLOOKUP($A63,데이터입력!$A:$H,2,FALSE),""),"")</f>
        <v/>
      </c>
      <c r="F63" s="610" t="str">
        <f>IFERROR(IF(AND(데이터입력!$AE$2="추경",데이터입력!$AM$2=TRUE),VLOOKUP($A63,데이터입력!$A:$H,5,FALSE),""),"")</f>
        <v/>
      </c>
      <c r="G63" s="610" t="str">
        <f>IFERROR(IF(AND(데이터입력!$AE$2="추경",데이터입력!$AM$2=TRUE),VLOOKUP($A63,데이터입력!$A:$H,6,FALSE),""),"")</f>
        <v/>
      </c>
      <c r="H63" s="611" t="str">
        <f>IFERROR(IF(AND(데이터입력!$AE$2="추경",데이터입력!$AM$2=TRUE),VLOOKUP($A63,데이터입력!$A:$L,7,FALSE),""),"")</f>
        <v/>
      </c>
      <c r="I63" s="611" t="str">
        <f>IFERROR(IF(AND(데이터입력!$AE$2="추경",데이터입력!$AM$2=TRUE),VLOOKUP($A63,데이터입력!$A:$L,8,FALSE)+VLOOKUP($A63,데이터입력!$A:$L,9,FALSE)+VLOOKUP($A63,데이터입력!$A:$L,10,FALSE),""),"")</f>
        <v/>
      </c>
      <c r="J63" s="612" t="s">
        <v>135</v>
      </c>
      <c r="K63" s="612" t="s">
        <v>135</v>
      </c>
      <c r="L63" s="612" t="s">
        <v>135</v>
      </c>
      <c r="M63" s="604"/>
      <c r="N63" s="180">
        <v>261</v>
      </c>
      <c r="O63" s="616" t="str">
        <f>IFERROR(IF(S63="06",데이터입력!$AB$8,IF(S63="07",데이터입력!$AD$8,IF(S63="05",데이터입력!$AF$8,데이터입력!$AB$8))),데이터입력!$AB$8)</f>
        <v>00</v>
      </c>
      <c r="P63" s="617" t="str">
        <f>데이터입력!$AC$9</f>
        <v>일반사업[일반]</v>
      </c>
      <c r="Q63" s="618" t="str">
        <f>IFERROR(IF(데이터입력!$AE$2="추경",VLOOKUP($N63,데이터입력!$A:$H,4,FALSE),""),"")</f>
        <v/>
      </c>
      <c r="R63" s="618" t="str">
        <f>IFERROR(IF(데이터입력!$AE$2="추경",VLOOKUP($N63,데이터입력!$A:$H,2,FALSE),""),"")</f>
        <v/>
      </c>
      <c r="S63" s="618" t="str">
        <f>IFERROR(IF(데이터입력!$AE$2="추경",VLOOKUP($N63,데이터입력!$A:$H,5,FALSE),""),"")</f>
        <v/>
      </c>
      <c r="T63" s="618" t="str">
        <f>IFERROR(IF(데이터입력!$AE$2="추경",VLOOKUP($N63,데이터입력!$A:$H,6,FALSE),""),"")</f>
        <v/>
      </c>
      <c r="U63" s="619" t="str">
        <f>IFERROR(IF(데이터입력!$AE$2="추경",VLOOKUP($N63,데이터입력!$A:$L,8,FALSE)+VLOOKUP($N63,데이터입력!$A:$L,9,FALSE)+VLOOKUP($N63,데이터입력!$A:$L,10,FALSE),""),"")</f>
        <v/>
      </c>
      <c r="V63" s="620" t="s">
        <v>135</v>
      </c>
      <c r="W63" s="620" t="s">
        <v>135</v>
      </c>
      <c r="X63" s="620" t="s">
        <v>135</v>
      </c>
      <c r="Y63" s="601"/>
      <c r="Z63" s="182" t="str">
        <f>데이터입력!$AB$8</f>
        <v>00</v>
      </c>
      <c r="AA63" s="185" t="str">
        <f>데이터입력!$AC$9</f>
        <v>일반사업[일반]</v>
      </c>
      <c r="AB63" s="183" t="str">
        <f>IFERROR(IF(데이터입력!$AE$2="추경",VLOOKUP($A63,#REF!,4,FALSE),""),"")</f>
        <v/>
      </c>
      <c r="AC63" s="183" t="str">
        <f>IFERROR(IF(데이터입력!$AE$2="추경",VLOOKUP($A63,#REF!,5,FALSE),""),"")</f>
        <v/>
      </c>
      <c r="AD63" s="183" t="str">
        <f>IFERROR(IF(데이터입력!$AE$2="추경",VLOOKUP($A63,#REF!,6,FALSE),""),"")</f>
        <v/>
      </c>
      <c r="AE63" s="183" t="str">
        <f>IFERROR(IF(데이터입력!$AE$2="추경",VLOOKUP($A63,#REF!,7,FALSE),""),"")</f>
        <v/>
      </c>
      <c r="AF63" s="183"/>
      <c r="AG63" s="184" t="str">
        <f>IFERROR(IF(데이터입력!$AE$2="추경",VLOOKUP($A63,#REF!,9,FALSE),""),"")</f>
        <v/>
      </c>
      <c r="AH63" s="184" t="str">
        <f>IFERROR(IF(데이터입력!$AE$2="추경",VLOOKUP($A63,#REF!,10,FALSE),""),"")</f>
        <v/>
      </c>
      <c r="AI63" s="184" t="str">
        <f>IFERROR(IF(데이터입력!$AE$2="추경",VLOOKUP($A63,#REF!,11,FALSE),""),"")</f>
        <v/>
      </c>
      <c r="AJ63" s="184" t="str">
        <f>IFERROR(IF(데이터입력!$AE$2="추경",VLOOKUP($A63,#REF!,12,FALSE),""),"")</f>
        <v/>
      </c>
      <c r="AK63" s="184" t="str">
        <f>IFERROR(IF(데이터입력!$AE$2="추경",VLOOKUP($A63,#REF!,13,FALSE),""),"")</f>
        <v/>
      </c>
    </row>
    <row r="64" spans="1:37">
      <c r="A64" s="180">
        <v>62</v>
      </c>
      <c r="B64" s="608" t="str">
        <f>IFERROR(IF(F64="06",데이터입력!$AB$8,IF(F64="07",데이터입력!$AD$8,IF(F64="05",데이터입력!$AF$8,데이터입력!$AB$8))),데이터입력!$AB$8)</f>
        <v>00</v>
      </c>
      <c r="C64" s="609" t="str">
        <f>데이터입력!$AC$9</f>
        <v>일반사업[일반]</v>
      </c>
      <c r="D64" s="610" t="str">
        <f>IFERROR(IF(AND(데이터입력!$AE$2="추경",데이터입력!$AM$2=TRUE),VLOOKUP($A64,데이터입력!$A:$H,4,FALSE),""),"")</f>
        <v/>
      </c>
      <c r="E64" s="610" t="str">
        <f>IFERROR(IF(AND(데이터입력!$AE$2="추경",데이터입력!$AM$2=TRUE),VLOOKUP($A64,데이터입력!$A:$H,2,FALSE),""),"")</f>
        <v/>
      </c>
      <c r="F64" s="610" t="str">
        <f>IFERROR(IF(AND(데이터입력!$AE$2="추경",데이터입력!$AM$2=TRUE),VLOOKUP($A64,데이터입력!$A:$H,5,FALSE),""),"")</f>
        <v/>
      </c>
      <c r="G64" s="610" t="str">
        <f>IFERROR(IF(AND(데이터입력!$AE$2="추경",데이터입력!$AM$2=TRUE),VLOOKUP($A64,데이터입력!$A:$H,6,FALSE),""),"")</f>
        <v/>
      </c>
      <c r="H64" s="611" t="str">
        <f>IFERROR(IF(AND(데이터입력!$AE$2="추경",데이터입력!$AM$2=TRUE),VLOOKUP($A64,데이터입력!$A:$L,7,FALSE),""),"")</f>
        <v/>
      </c>
      <c r="I64" s="611" t="str">
        <f>IFERROR(IF(AND(데이터입력!$AE$2="추경",데이터입력!$AM$2=TRUE),VLOOKUP($A64,데이터입력!$A:$L,8,FALSE)+VLOOKUP($A64,데이터입력!$A:$L,9,FALSE)+VLOOKUP($A64,데이터입력!$A:$L,10,FALSE),""),"")</f>
        <v/>
      </c>
      <c r="J64" s="612" t="s">
        <v>135</v>
      </c>
      <c r="K64" s="612" t="s">
        <v>135</v>
      </c>
      <c r="L64" s="612" t="s">
        <v>135</v>
      </c>
      <c r="M64" s="604"/>
      <c r="N64" s="180">
        <v>262</v>
      </c>
      <c r="O64" s="616" t="str">
        <f>IFERROR(IF(S64="06",데이터입력!$AB$8,IF(S64="07",데이터입력!$AD$8,IF(S64="05",데이터입력!$AF$8,데이터입력!$AB$8))),데이터입력!$AB$8)</f>
        <v>00</v>
      </c>
      <c r="P64" s="617" t="str">
        <f>데이터입력!$AC$9</f>
        <v>일반사업[일반]</v>
      </c>
      <c r="Q64" s="618" t="str">
        <f>IFERROR(IF(데이터입력!$AE$2="추경",VLOOKUP($N64,데이터입력!$A:$H,4,FALSE),""),"")</f>
        <v/>
      </c>
      <c r="R64" s="618" t="str">
        <f>IFERROR(IF(데이터입력!$AE$2="추경",VLOOKUP($N64,데이터입력!$A:$H,2,FALSE),""),"")</f>
        <v/>
      </c>
      <c r="S64" s="618" t="str">
        <f>IFERROR(IF(데이터입력!$AE$2="추경",VLOOKUP($N64,데이터입력!$A:$H,5,FALSE),""),"")</f>
        <v/>
      </c>
      <c r="T64" s="618" t="str">
        <f>IFERROR(IF(데이터입력!$AE$2="추경",VLOOKUP($N64,데이터입력!$A:$H,6,FALSE),""),"")</f>
        <v/>
      </c>
      <c r="U64" s="619" t="str">
        <f>IFERROR(IF(데이터입력!$AE$2="추경",VLOOKUP($N64,데이터입력!$A:$L,8,FALSE)+VLOOKUP($N64,데이터입력!$A:$L,9,FALSE)+VLOOKUP($N64,데이터입력!$A:$L,10,FALSE),""),"")</f>
        <v/>
      </c>
      <c r="V64" s="620" t="s">
        <v>135</v>
      </c>
      <c r="W64" s="620" t="s">
        <v>135</v>
      </c>
      <c r="X64" s="620" t="s">
        <v>135</v>
      </c>
      <c r="Y64" s="600"/>
      <c r="Z64" s="182" t="str">
        <f>데이터입력!$AB$8</f>
        <v>00</v>
      </c>
      <c r="AA64" s="185" t="str">
        <f>데이터입력!$AC$9</f>
        <v>일반사업[일반]</v>
      </c>
      <c r="AB64" s="183" t="str">
        <f>IFERROR(IF(데이터입력!$AE$2="추경",VLOOKUP($A64,#REF!,4,FALSE),""),"")</f>
        <v/>
      </c>
      <c r="AC64" s="183" t="str">
        <f>IFERROR(IF(데이터입력!$AE$2="추경",VLOOKUP($A64,#REF!,5,FALSE),""),"")</f>
        <v/>
      </c>
      <c r="AD64" s="183" t="str">
        <f>IFERROR(IF(데이터입력!$AE$2="추경",VLOOKUP($A64,#REF!,6,FALSE),""),"")</f>
        <v/>
      </c>
      <c r="AE64" s="183" t="str">
        <f>IFERROR(IF(데이터입력!$AE$2="추경",VLOOKUP($A64,#REF!,7,FALSE),""),"")</f>
        <v/>
      </c>
      <c r="AF64" s="183"/>
      <c r="AG64" s="184" t="str">
        <f>IFERROR(IF(데이터입력!$AE$2="추경",VLOOKUP($A64,#REF!,9,FALSE),""),"")</f>
        <v/>
      </c>
      <c r="AH64" s="184" t="str">
        <f>IFERROR(IF(데이터입력!$AE$2="추경",VLOOKUP($A64,#REF!,10,FALSE),""),"")</f>
        <v/>
      </c>
      <c r="AI64" s="184" t="str">
        <f>IFERROR(IF(데이터입력!$AE$2="추경",VLOOKUP($A64,#REF!,11,FALSE),""),"")</f>
        <v/>
      </c>
      <c r="AJ64" s="184" t="str">
        <f>IFERROR(IF(데이터입력!$AE$2="추경",VLOOKUP($A64,#REF!,12,FALSE),""),"")</f>
        <v/>
      </c>
      <c r="AK64" s="184" t="str">
        <f>IFERROR(IF(데이터입력!$AE$2="추경",VLOOKUP($A64,#REF!,13,FALSE),""),"")</f>
        <v/>
      </c>
    </row>
    <row r="65" spans="1:37">
      <c r="A65" s="180">
        <v>63</v>
      </c>
      <c r="B65" s="608" t="str">
        <f>IFERROR(IF(F65="06",데이터입력!$AB$8,IF(F65="07",데이터입력!$AD$8,IF(F65="05",데이터입력!$AF$8,데이터입력!$AB$8))),데이터입력!$AB$8)</f>
        <v>00</v>
      </c>
      <c r="C65" s="609" t="str">
        <f>데이터입력!$AC$9</f>
        <v>일반사업[일반]</v>
      </c>
      <c r="D65" s="610" t="str">
        <f>IFERROR(IF(AND(데이터입력!$AE$2="추경",데이터입력!$AM$2=TRUE),VLOOKUP($A65,데이터입력!$A:$H,4,FALSE),""),"")</f>
        <v/>
      </c>
      <c r="E65" s="610" t="str">
        <f>IFERROR(IF(AND(데이터입력!$AE$2="추경",데이터입력!$AM$2=TRUE),VLOOKUP($A65,데이터입력!$A:$H,2,FALSE),""),"")</f>
        <v/>
      </c>
      <c r="F65" s="610" t="str">
        <f>IFERROR(IF(AND(데이터입력!$AE$2="추경",데이터입력!$AM$2=TRUE),VLOOKUP($A65,데이터입력!$A:$H,5,FALSE),""),"")</f>
        <v/>
      </c>
      <c r="G65" s="610" t="str">
        <f>IFERROR(IF(AND(데이터입력!$AE$2="추경",데이터입력!$AM$2=TRUE),VLOOKUP($A65,데이터입력!$A:$H,6,FALSE),""),"")</f>
        <v/>
      </c>
      <c r="H65" s="611" t="str">
        <f>IFERROR(IF(AND(데이터입력!$AE$2="추경",데이터입력!$AM$2=TRUE),VLOOKUP($A65,데이터입력!$A:$L,7,FALSE),""),"")</f>
        <v/>
      </c>
      <c r="I65" s="611" t="str">
        <f>IFERROR(IF(AND(데이터입력!$AE$2="추경",데이터입력!$AM$2=TRUE),VLOOKUP($A65,데이터입력!$A:$L,8,FALSE)+VLOOKUP($A65,데이터입력!$A:$L,9,FALSE)+VLOOKUP($A65,데이터입력!$A:$L,10,FALSE),""),"")</f>
        <v/>
      </c>
      <c r="J65" s="612" t="s">
        <v>135</v>
      </c>
      <c r="K65" s="612" t="s">
        <v>135</v>
      </c>
      <c r="L65" s="612" t="s">
        <v>135</v>
      </c>
      <c r="M65" s="604"/>
      <c r="N65" s="180">
        <v>263</v>
      </c>
      <c r="O65" s="616" t="str">
        <f>IFERROR(IF(S65="06",데이터입력!$AB$8,IF(S65="07",데이터입력!$AD$8,IF(S65="05",데이터입력!$AF$8,데이터입력!$AB$8))),데이터입력!$AB$8)</f>
        <v>00</v>
      </c>
      <c r="P65" s="617" t="str">
        <f>데이터입력!$AC$9</f>
        <v>일반사업[일반]</v>
      </c>
      <c r="Q65" s="618" t="str">
        <f>IFERROR(IF(데이터입력!$AE$2="추경",VLOOKUP($N65,데이터입력!$A:$H,4,FALSE),""),"")</f>
        <v/>
      </c>
      <c r="R65" s="618" t="str">
        <f>IFERROR(IF(데이터입력!$AE$2="추경",VLOOKUP($N65,데이터입력!$A:$H,2,FALSE),""),"")</f>
        <v/>
      </c>
      <c r="S65" s="618" t="str">
        <f>IFERROR(IF(데이터입력!$AE$2="추경",VLOOKUP($N65,데이터입력!$A:$H,5,FALSE),""),"")</f>
        <v/>
      </c>
      <c r="T65" s="618" t="str">
        <f>IFERROR(IF(데이터입력!$AE$2="추경",VLOOKUP($N65,데이터입력!$A:$H,6,FALSE),""),"")</f>
        <v/>
      </c>
      <c r="U65" s="619" t="str">
        <f>IFERROR(IF(데이터입력!$AE$2="추경",VLOOKUP($N65,데이터입력!$A:$L,8,FALSE)+VLOOKUP($N65,데이터입력!$A:$L,9,FALSE)+VLOOKUP($N65,데이터입력!$A:$L,10,FALSE),""),"")</f>
        <v/>
      </c>
      <c r="V65" s="620" t="s">
        <v>135</v>
      </c>
      <c r="W65" s="620" t="s">
        <v>135</v>
      </c>
      <c r="X65" s="620" t="s">
        <v>135</v>
      </c>
      <c r="Y65" s="601"/>
      <c r="Z65" s="182" t="str">
        <f>데이터입력!$AB$8</f>
        <v>00</v>
      </c>
      <c r="AA65" s="185" t="str">
        <f>데이터입력!$AC$9</f>
        <v>일반사업[일반]</v>
      </c>
      <c r="AB65" s="183" t="str">
        <f>IFERROR(IF(데이터입력!$AE$2="추경",VLOOKUP($A65,#REF!,4,FALSE),""),"")</f>
        <v/>
      </c>
      <c r="AC65" s="183" t="str">
        <f>IFERROR(IF(데이터입력!$AE$2="추경",VLOOKUP($A65,#REF!,5,FALSE),""),"")</f>
        <v/>
      </c>
      <c r="AD65" s="183" t="str">
        <f>IFERROR(IF(데이터입력!$AE$2="추경",VLOOKUP($A65,#REF!,6,FALSE),""),"")</f>
        <v/>
      </c>
      <c r="AE65" s="183" t="str">
        <f>IFERROR(IF(데이터입력!$AE$2="추경",VLOOKUP($A65,#REF!,7,FALSE),""),"")</f>
        <v/>
      </c>
      <c r="AF65" s="183"/>
      <c r="AG65" s="184" t="str">
        <f>IFERROR(IF(데이터입력!$AE$2="추경",VLOOKUP($A65,#REF!,9,FALSE),""),"")</f>
        <v/>
      </c>
      <c r="AH65" s="184" t="str">
        <f>IFERROR(IF(데이터입력!$AE$2="추경",VLOOKUP($A65,#REF!,10,FALSE),""),"")</f>
        <v/>
      </c>
      <c r="AI65" s="184" t="str">
        <f>IFERROR(IF(데이터입력!$AE$2="추경",VLOOKUP($A65,#REF!,11,FALSE),""),"")</f>
        <v/>
      </c>
      <c r="AJ65" s="184" t="str">
        <f>IFERROR(IF(데이터입력!$AE$2="추경",VLOOKUP($A65,#REF!,12,FALSE),""),"")</f>
        <v/>
      </c>
      <c r="AK65" s="184" t="str">
        <f>IFERROR(IF(데이터입력!$AE$2="추경",VLOOKUP($A65,#REF!,13,FALSE),""),"")</f>
        <v/>
      </c>
    </row>
    <row r="66" spans="1:37">
      <c r="A66" s="180">
        <v>64</v>
      </c>
      <c r="B66" s="608" t="str">
        <f>IFERROR(IF(F66="06",데이터입력!$AB$8,IF(F66="07",데이터입력!$AD$8,IF(F66="05",데이터입력!$AF$8,데이터입력!$AB$8))),데이터입력!$AB$8)</f>
        <v>00</v>
      </c>
      <c r="C66" s="609" t="str">
        <f>데이터입력!$AC$9</f>
        <v>일반사업[일반]</v>
      </c>
      <c r="D66" s="610" t="str">
        <f>IFERROR(IF(AND(데이터입력!$AE$2="추경",데이터입력!$AM$2=TRUE),VLOOKUP($A66,데이터입력!$A:$H,4,FALSE),""),"")</f>
        <v/>
      </c>
      <c r="E66" s="610" t="str">
        <f>IFERROR(IF(AND(데이터입력!$AE$2="추경",데이터입력!$AM$2=TRUE),VLOOKUP($A66,데이터입력!$A:$H,2,FALSE),""),"")</f>
        <v/>
      </c>
      <c r="F66" s="610" t="str">
        <f>IFERROR(IF(AND(데이터입력!$AE$2="추경",데이터입력!$AM$2=TRUE),VLOOKUP($A66,데이터입력!$A:$H,5,FALSE),""),"")</f>
        <v/>
      </c>
      <c r="G66" s="610" t="str">
        <f>IFERROR(IF(AND(데이터입력!$AE$2="추경",데이터입력!$AM$2=TRUE),VLOOKUP($A66,데이터입력!$A:$H,6,FALSE),""),"")</f>
        <v/>
      </c>
      <c r="H66" s="611" t="str">
        <f>IFERROR(IF(AND(데이터입력!$AE$2="추경",데이터입력!$AM$2=TRUE),VLOOKUP($A66,데이터입력!$A:$L,7,FALSE),""),"")</f>
        <v/>
      </c>
      <c r="I66" s="611" t="str">
        <f>IFERROR(IF(AND(데이터입력!$AE$2="추경",데이터입력!$AM$2=TRUE),VLOOKUP($A66,데이터입력!$A:$L,8,FALSE)+VLOOKUP($A66,데이터입력!$A:$L,9,FALSE)+VLOOKUP($A66,데이터입력!$A:$L,10,FALSE),""),"")</f>
        <v/>
      </c>
      <c r="J66" s="612" t="s">
        <v>135</v>
      </c>
      <c r="K66" s="612" t="s">
        <v>135</v>
      </c>
      <c r="L66" s="612" t="s">
        <v>135</v>
      </c>
      <c r="M66" s="604"/>
      <c r="N66" s="180">
        <v>264</v>
      </c>
      <c r="O66" s="616" t="str">
        <f>IFERROR(IF(S66="06",데이터입력!$AB$8,IF(S66="07",데이터입력!$AD$8,IF(S66="05",데이터입력!$AF$8,데이터입력!$AB$8))),데이터입력!$AB$8)</f>
        <v>00</v>
      </c>
      <c r="P66" s="617" t="str">
        <f>데이터입력!$AC$9</f>
        <v>일반사업[일반]</v>
      </c>
      <c r="Q66" s="618" t="str">
        <f>IFERROR(IF(데이터입력!$AE$2="추경",VLOOKUP($N66,데이터입력!$A:$H,4,FALSE),""),"")</f>
        <v/>
      </c>
      <c r="R66" s="618" t="str">
        <f>IFERROR(IF(데이터입력!$AE$2="추경",VLOOKUP($N66,데이터입력!$A:$H,2,FALSE),""),"")</f>
        <v/>
      </c>
      <c r="S66" s="618" t="str">
        <f>IFERROR(IF(데이터입력!$AE$2="추경",VLOOKUP($N66,데이터입력!$A:$H,5,FALSE),""),"")</f>
        <v/>
      </c>
      <c r="T66" s="618" t="str">
        <f>IFERROR(IF(데이터입력!$AE$2="추경",VLOOKUP($N66,데이터입력!$A:$H,6,FALSE),""),"")</f>
        <v/>
      </c>
      <c r="U66" s="619" t="str">
        <f>IFERROR(IF(데이터입력!$AE$2="추경",VLOOKUP($N66,데이터입력!$A:$L,8,FALSE)+VLOOKUP($N66,데이터입력!$A:$L,9,FALSE)+VLOOKUP($N66,데이터입력!$A:$L,10,FALSE),""),"")</f>
        <v/>
      </c>
      <c r="V66" s="620" t="s">
        <v>135</v>
      </c>
      <c r="W66" s="620" t="s">
        <v>135</v>
      </c>
      <c r="X66" s="620" t="s">
        <v>135</v>
      </c>
      <c r="Y66" s="600"/>
      <c r="Z66" s="182" t="str">
        <f>데이터입력!$AB$8</f>
        <v>00</v>
      </c>
      <c r="AA66" s="185" t="str">
        <f>데이터입력!$AC$9</f>
        <v>일반사업[일반]</v>
      </c>
      <c r="AB66" s="183" t="str">
        <f>IFERROR(IF(데이터입력!$AE$2="추경",VLOOKUP($A66,#REF!,4,FALSE),""),"")</f>
        <v/>
      </c>
      <c r="AC66" s="183" t="str">
        <f>IFERROR(IF(데이터입력!$AE$2="추경",VLOOKUP($A66,#REF!,5,FALSE),""),"")</f>
        <v/>
      </c>
      <c r="AD66" s="183" t="str">
        <f>IFERROR(IF(데이터입력!$AE$2="추경",VLOOKUP($A66,#REF!,6,FALSE),""),"")</f>
        <v/>
      </c>
      <c r="AE66" s="183" t="str">
        <f>IFERROR(IF(데이터입력!$AE$2="추경",VLOOKUP($A66,#REF!,7,FALSE),""),"")</f>
        <v/>
      </c>
      <c r="AF66" s="183"/>
      <c r="AG66" s="184" t="str">
        <f>IFERROR(IF(데이터입력!$AE$2="추경",VLOOKUP($A66,#REF!,9,FALSE),""),"")</f>
        <v/>
      </c>
      <c r="AH66" s="184" t="str">
        <f>IFERROR(IF(데이터입력!$AE$2="추경",VLOOKUP($A66,#REF!,10,FALSE),""),"")</f>
        <v/>
      </c>
      <c r="AI66" s="184" t="str">
        <f>IFERROR(IF(데이터입력!$AE$2="추경",VLOOKUP($A66,#REF!,11,FALSE),""),"")</f>
        <v/>
      </c>
      <c r="AJ66" s="184" t="str">
        <f>IFERROR(IF(데이터입력!$AE$2="추경",VLOOKUP($A66,#REF!,12,FALSE),""),"")</f>
        <v/>
      </c>
      <c r="AK66" s="184" t="str">
        <f>IFERROR(IF(데이터입력!$AE$2="추경",VLOOKUP($A66,#REF!,13,FALSE),""),"")</f>
        <v/>
      </c>
    </row>
    <row r="67" spans="1:37">
      <c r="A67" s="180">
        <v>65</v>
      </c>
      <c r="B67" s="608" t="str">
        <f>IFERROR(IF(F67="06",데이터입력!$AB$8,IF(F67="07",데이터입력!$AD$8,IF(F67="05",데이터입력!$AF$8,데이터입력!$AB$8))),데이터입력!$AB$8)</f>
        <v>00</v>
      </c>
      <c r="C67" s="609" t="str">
        <f>데이터입력!$AC$9</f>
        <v>일반사업[일반]</v>
      </c>
      <c r="D67" s="610" t="str">
        <f>IFERROR(IF(AND(데이터입력!$AE$2="추경",데이터입력!$AM$2=TRUE),VLOOKUP($A67,데이터입력!$A:$H,4,FALSE),""),"")</f>
        <v/>
      </c>
      <c r="E67" s="610" t="str">
        <f>IFERROR(IF(AND(데이터입력!$AE$2="추경",데이터입력!$AM$2=TRUE),VLOOKUP($A67,데이터입력!$A:$H,2,FALSE),""),"")</f>
        <v/>
      </c>
      <c r="F67" s="610" t="str">
        <f>IFERROR(IF(AND(데이터입력!$AE$2="추경",데이터입력!$AM$2=TRUE),VLOOKUP($A67,데이터입력!$A:$H,5,FALSE),""),"")</f>
        <v/>
      </c>
      <c r="G67" s="610" t="str">
        <f>IFERROR(IF(AND(데이터입력!$AE$2="추경",데이터입력!$AM$2=TRUE),VLOOKUP($A67,데이터입력!$A:$H,6,FALSE),""),"")</f>
        <v/>
      </c>
      <c r="H67" s="611" t="str">
        <f>IFERROR(IF(AND(데이터입력!$AE$2="추경",데이터입력!$AM$2=TRUE),VLOOKUP($A67,데이터입력!$A:$L,7,FALSE),""),"")</f>
        <v/>
      </c>
      <c r="I67" s="611" t="str">
        <f>IFERROR(IF(AND(데이터입력!$AE$2="추경",데이터입력!$AM$2=TRUE),VLOOKUP($A67,데이터입력!$A:$L,8,FALSE)+VLOOKUP($A67,데이터입력!$A:$L,9,FALSE)+VLOOKUP($A67,데이터입력!$A:$L,10,FALSE),""),"")</f>
        <v/>
      </c>
      <c r="J67" s="612" t="s">
        <v>135</v>
      </c>
      <c r="K67" s="612" t="s">
        <v>135</v>
      </c>
      <c r="L67" s="612" t="s">
        <v>135</v>
      </c>
      <c r="M67" s="604"/>
      <c r="N67" s="180">
        <v>265</v>
      </c>
      <c r="O67" s="616" t="str">
        <f>IFERROR(IF(S67="06",데이터입력!$AB$8,IF(S67="07",데이터입력!$AD$8,IF(S67="05",데이터입력!$AF$8,데이터입력!$AB$8))),데이터입력!$AB$8)</f>
        <v>00</v>
      </c>
      <c r="P67" s="617" t="str">
        <f>데이터입력!$AC$9</f>
        <v>일반사업[일반]</v>
      </c>
      <c r="Q67" s="618" t="str">
        <f>IFERROR(IF(데이터입력!$AE$2="추경",VLOOKUP($N67,데이터입력!$A:$H,4,FALSE),""),"")</f>
        <v/>
      </c>
      <c r="R67" s="618" t="str">
        <f>IFERROR(IF(데이터입력!$AE$2="추경",VLOOKUP($N67,데이터입력!$A:$H,2,FALSE),""),"")</f>
        <v/>
      </c>
      <c r="S67" s="618" t="str">
        <f>IFERROR(IF(데이터입력!$AE$2="추경",VLOOKUP($N67,데이터입력!$A:$H,5,FALSE),""),"")</f>
        <v/>
      </c>
      <c r="T67" s="618" t="str">
        <f>IFERROR(IF(데이터입력!$AE$2="추경",VLOOKUP($N67,데이터입력!$A:$H,6,FALSE),""),"")</f>
        <v/>
      </c>
      <c r="U67" s="619" t="str">
        <f>IFERROR(IF(데이터입력!$AE$2="추경",VLOOKUP($N67,데이터입력!$A:$L,8,FALSE)+VLOOKUP($N67,데이터입력!$A:$L,9,FALSE)+VLOOKUP($N67,데이터입력!$A:$L,10,FALSE),""),"")</f>
        <v/>
      </c>
      <c r="V67" s="620" t="s">
        <v>135</v>
      </c>
      <c r="W67" s="620" t="s">
        <v>135</v>
      </c>
      <c r="X67" s="620" t="s">
        <v>135</v>
      </c>
      <c r="Y67" s="601"/>
      <c r="Z67" s="182" t="str">
        <f>데이터입력!$AB$8</f>
        <v>00</v>
      </c>
      <c r="AA67" s="185" t="str">
        <f>데이터입력!$AC$9</f>
        <v>일반사업[일반]</v>
      </c>
      <c r="AB67" s="183" t="str">
        <f>IFERROR(IF(데이터입력!$AE$2="추경",VLOOKUP($A67,#REF!,4,FALSE),""),"")</f>
        <v/>
      </c>
      <c r="AC67" s="183" t="str">
        <f>IFERROR(IF(데이터입력!$AE$2="추경",VLOOKUP($A67,#REF!,5,FALSE),""),"")</f>
        <v/>
      </c>
      <c r="AD67" s="183" t="str">
        <f>IFERROR(IF(데이터입력!$AE$2="추경",VLOOKUP($A67,#REF!,6,FALSE),""),"")</f>
        <v/>
      </c>
      <c r="AE67" s="183" t="str">
        <f>IFERROR(IF(데이터입력!$AE$2="추경",VLOOKUP($A67,#REF!,7,FALSE),""),"")</f>
        <v/>
      </c>
      <c r="AF67" s="183"/>
      <c r="AG67" s="184" t="str">
        <f>IFERROR(IF(데이터입력!$AE$2="추경",VLOOKUP($A67,#REF!,9,FALSE),""),"")</f>
        <v/>
      </c>
      <c r="AH67" s="184" t="str">
        <f>IFERROR(IF(데이터입력!$AE$2="추경",VLOOKUP($A67,#REF!,10,FALSE),""),"")</f>
        <v/>
      </c>
      <c r="AI67" s="184" t="str">
        <f>IFERROR(IF(데이터입력!$AE$2="추경",VLOOKUP($A67,#REF!,11,FALSE),""),"")</f>
        <v/>
      </c>
      <c r="AJ67" s="184" t="str">
        <f>IFERROR(IF(데이터입력!$AE$2="추경",VLOOKUP($A67,#REF!,12,FALSE),""),"")</f>
        <v/>
      </c>
      <c r="AK67" s="184" t="str">
        <f>IFERROR(IF(데이터입력!$AE$2="추경",VLOOKUP($A67,#REF!,13,FALSE),""),"")</f>
        <v/>
      </c>
    </row>
    <row r="68" spans="1:37">
      <c r="A68" s="180">
        <v>66</v>
      </c>
      <c r="B68" s="608" t="str">
        <f>IFERROR(IF(F68="06",데이터입력!$AB$8,IF(F68="07",데이터입력!$AD$8,IF(F68="05",데이터입력!$AF$8,데이터입력!$AB$8))),데이터입력!$AB$8)</f>
        <v>00</v>
      </c>
      <c r="C68" s="609" t="str">
        <f>데이터입력!$AC$9</f>
        <v>일반사업[일반]</v>
      </c>
      <c r="D68" s="610" t="str">
        <f>IFERROR(IF(AND(데이터입력!$AE$2="추경",데이터입력!$AM$2=TRUE),VLOOKUP($A68,데이터입력!$A:$H,4,FALSE),""),"")</f>
        <v/>
      </c>
      <c r="E68" s="610" t="str">
        <f>IFERROR(IF(AND(데이터입력!$AE$2="추경",데이터입력!$AM$2=TRUE),VLOOKUP($A68,데이터입력!$A:$H,2,FALSE),""),"")</f>
        <v/>
      </c>
      <c r="F68" s="610" t="str">
        <f>IFERROR(IF(AND(데이터입력!$AE$2="추경",데이터입력!$AM$2=TRUE),VLOOKUP($A68,데이터입력!$A:$H,5,FALSE),""),"")</f>
        <v/>
      </c>
      <c r="G68" s="610" t="str">
        <f>IFERROR(IF(AND(데이터입력!$AE$2="추경",데이터입력!$AM$2=TRUE),VLOOKUP($A68,데이터입력!$A:$H,6,FALSE),""),"")</f>
        <v/>
      </c>
      <c r="H68" s="611" t="str">
        <f>IFERROR(IF(AND(데이터입력!$AE$2="추경",데이터입력!$AM$2=TRUE),VLOOKUP($A68,데이터입력!$A:$L,7,FALSE),""),"")</f>
        <v/>
      </c>
      <c r="I68" s="611" t="str">
        <f>IFERROR(IF(AND(데이터입력!$AE$2="추경",데이터입력!$AM$2=TRUE),VLOOKUP($A68,데이터입력!$A:$L,8,FALSE)+VLOOKUP($A68,데이터입력!$A:$L,9,FALSE)+VLOOKUP($A68,데이터입력!$A:$L,10,FALSE),""),"")</f>
        <v/>
      </c>
      <c r="J68" s="612" t="s">
        <v>135</v>
      </c>
      <c r="K68" s="612" t="s">
        <v>135</v>
      </c>
      <c r="L68" s="612" t="s">
        <v>135</v>
      </c>
      <c r="M68" s="604"/>
      <c r="N68" s="180">
        <v>266</v>
      </c>
      <c r="O68" s="616" t="str">
        <f>IFERROR(IF(S68="06",데이터입력!$AB$8,IF(S68="07",데이터입력!$AD$8,IF(S68="05",데이터입력!$AF$8,데이터입력!$AB$8))),데이터입력!$AB$8)</f>
        <v>00</v>
      </c>
      <c r="P68" s="617" t="str">
        <f>데이터입력!$AC$9</f>
        <v>일반사업[일반]</v>
      </c>
      <c r="Q68" s="618" t="str">
        <f>IFERROR(IF(데이터입력!$AE$2="추경",VLOOKUP($N68,데이터입력!$A:$H,4,FALSE),""),"")</f>
        <v/>
      </c>
      <c r="R68" s="618" t="str">
        <f>IFERROR(IF(데이터입력!$AE$2="추경",VLOOKUP($N68,데이터입력!$A:$H,2,FALSE),""),"")</f>
        <v/>
      </c>
      <c r="S68" s="618" t="str">
        <f>IFERROR(IF(데이터입력!$AE$2="추경",VLOOKUP($N68,데이터입력!$A:$H,5,FALSE),""),"")</f>
        <v/>
      </c>
      <c r="T68" s="618" t="str">
        <f>IFERROR(IF(데이터입력!$AE$2="추경",VLOOKUP($N68,데이터입력!$A:$H,6,FALSE),""),"")</f>
        <v/>
      </c>
      <c r="U68" s="619" t="str">
        <f>IFERROR(IF(데이터입력!$AE$2="추경",VLOOKUP($N68,데이터입력!$A:$L,8,FALSE)+VLOOKUP($N68,데이터입력!$A:$L,9,FALSE)+VLOOKUP($N68,데이터입력!$A:$L,10,FALSE),""),"")</f>
        <v/>
      </c>
      <c r="V68" s="620" t="s">
        <v>135</v>
      </c>
      <c r="W68" s="620" t="s">
        <v>135</v>
      </c>
      <c r="X68" s="620" t="s">
        <v>135</v>
      </c>
      <c r="Y68" s="600"/>
      <c r="Z68" s="182" t="str">
        <f>데이터입력!$AB$8</f>
        <v>00</v>
      </c>
      <c r="AA68" s="185" t="str">
        <f>데이터입력!$AC$9</f>
        <v>일반사업[일반]</v>
      </c>
      <c r="AB68" s="183" t="str">
        <f>IFERROR(IF(데이터입력!$AE$2="추경",VLOOKUP($A68,#REF!,4,FALSE),""),"")</f>
        <v/>
      </c>
      <c r="AC68" s="183" t="str">
        <f>IFERROR(IF(데이터입력!$AE$2="추경",VLOOKUP($A68,#REF!,5,FALSE),""),"")</f>
        <v/>
      </c>
      <c r="AD68" s="183" t="str">
        <f>IFERROR(IF(데이터입력!$AE$2="추경",VLOOKUP($A68,#REF!,6,FALSE),""),"")</f>
        <v/>
      </c>
      <c r="AE68" s="183" t="str">
        <f>IFERROR(IF(데이터입력!$AE$2="추경",VLOOKUP($A68,#REF!,7,FALSE),""),"")</f>
        <v/>
      </c>
      <c r="AF68" s="183"/>
      <c r="AG68" s="184" t="str">
        <f>IFERROR(IF(데이터입력!$AE$2="추경",VLOOKUP($A68,#REF!,9,FALSE),""),"")</f>
        <v/>
      </c>
      <c r="AH68" s="184" t="str">
        <f>IFERROR(IF(데이터입력!$AE$2="추경",VLOOKUP($A68,#REF!,10,FALSE),""),"")</f>
        <v/>
      </c>
      <c r="AI68" s="184" t="str">
        <f>IFERROR(IF(데이터입력!$AE$2="추경",VLOOKUP($A68,#REF!,11,FALSE),""),"")</f>
        <v/>
      </c>
      <c r="AJ68" s="184" t="str">
        <f>IFERROR(IF(데이터입력!$AE$2="추경",VLOOKUP($A68,#REF!,12,FALSE),""),"")</f>
        <v/>
      </c>
      <c r="AK68" s="184" t="str">
        <f>IFERROR(IF(데이터입력!$AE$2="추경",VLOOKUP($A68,#REF!,13,FALSE),""),"")</f>
        <v/>
      </c>
    </row>
    <row r="69" spans="1:37">
      <c r="A69" s="180">
        <v>67</v>
      </c>
      <c r="B69" s="608" t="str">
        <f>IFERROR(IF(F69="06",데이터입력!$AB$8,IF(F69="07",데이터입력!$AD$8,IF(F69="05",데이터입력!$AF$8,데이터입력!$AB$8))),데이터입력!$AB$8)</f>
        <v>00</v>
      </c>
      <c r="C69" s="609" t="str">
        <f>데이터입력!$AC$9</f>
        <v>일반사업[일반]</v>
      </c>
      <c r="D69" s="610" t="str">
        <f>IFERROR(IF(AND(데이터입력!$AE$2="추경",데이터입력!$AM$2=TRUE),VLOOKUP($A69,데이터입력!$A:$H,4,FALSE),""),"")</f>
        <v/>
      </c>
      <c r="E69" s="610" t="str">
        <f>IFERROR(IF(AND(데이터입력!$AE$2="추경",데이터입력!$AM$2=TRUE),VLOOKUP($A69,데이터입력!$A:$H,2,FALSE),""),"")</f>
        <v/>
      </c>
      <c r="F69" s="610" t="str">
        <f>IFERROR(IF(AND(데이터입력!$AE$2="추경",데이터입력!$AM$2=TRUE),VLOOKUP($A69,데이터입력!$A:$H,5,FALSE),""),"")</f>
        <v/>
      </c>
      <c r="G69" s="610" t="str">
        <f>IFERROR(IF(AND(데이터입력!$AE$2="추경",데이터입력!$AM$2=TRUE),VLOOKUP($A69,데이터입력!$A:$H,6,FALSE),""),"")</f>
        <v/>
      </c>
      <c r="H69" s="611" t="str">
        <f>IFERROR(IF(AND(데이터입력!$AE$2="추경",데이터입력!$AM$2=TRUE),VLOOKUP($A69,데이터입력!$A:$L,7,FALSE),""),"")</f>
        <v/>
      </c>
      <c r="I69" s="611" t="str">
        <f>IFERROR(IF(AND(데이터입력!$AE$2="추경",데이터입력!$AM$2=TRUE),VLOOKUP($A69,데이터입력!$A:$L,8,FALSE)+VLOOKUP($A69,데이터입력!$A:$L,9,FALSE)+VLOOKUP($A69,데이터입력!$A:$L,10,FALSE),""),"")</f>
        <v/>
      </c>
      <c r="J69" s="612" t="s">
        <v>135</v>
      </c>
      <c r="K69" s="612" t="s">
        <v>135</v>
      </c>
      <c r="L69" s="612" t="s">
        <v>135</v>
      </c>
      <c r="M69" s="604"/>
      <c r="N69" s="180">
        <v>267</v>
      </c>
      <c r="O69" s="616" t="str">
        <f>IFERROR(IF(S69="06",데이터입력!$AB$8,IF(S69="07",데이터입력!$AD$8,IF(S69="05",데이터입력!$AF$8,데이터입력!$AB$8))),데이터입력!$AB$8)</f>
        <v>00</v>
      </c>
      <c r="P69" s="617" t="str">
        <f>데이터입력!$AC$9</f>
        <v>일반사업[일반]</v>
      </c>
      <c r="Q69" s="618" t="str">
        <f>IFERROR(IF(데이터입력!$AE$2="추경",VLOOKUP($N69,데이터입력!$A:$H,4,FALSE),""),"")</f>
        <v/>
      </c>
      <c r="R69" s="618" t="str">
        <f>IFERROR(IF(데이터입력!$AE$2="추경",VLOOKUP($N69,데이터입력!$A:$H,2,FALSE),""),"")</f>
        <v/>
      </c>
      <c r="S69" s="618" t="str">
        <f>IFERROR(IF(데이터입력!$AE$2="추경",VLOOKUP($N69,데이터입력!$A:$H,5,FALSE),""),"")</f>
        <v/>
      </c>
      <c r="T69" s="618" t="str">
        <f>IFERROR(IF(데이터입력!$AE$2="추경",VLOOKUP($N69,데이터입력!$A:$H,6,FALSE),""),"")</f>
        <v/>
      </c>
      <c r="U69" s="619" t="str">
        <f>IFERROR(IF(데이터입력!$AE$2="추경",VLOOKUP($N69,데이터입력!$A:$L,8,FALSE)+VLOOKUP($N69,데이터입력!$A:$L,9,FALSE)+VLOOKUP($N69,데이터입력!$A:$L,10,FALSE),""),"")</f>
        <v/>
      </c>
      <c r="V69" s="620" t="s">
        <v>135</v>
      </c>
      <c r="W69" s="620" t="s">
        <v>135</v>
      </c>
      <c r="X69" s="620" t="s">
        <v>135</v>
      </c>
      <c r="Y69" s="601"/>
      <c r="Z69" s="182" t="str">
        <f>데이터입력!$AB$8</f>
        <v>00</v>
      </c>
      <c r="AA69" s="185" t="str">
        <f>데이터입력!$AC$9</f>
        <v>일반사업[일반]</v>
      </c>
      <c r="AB69" s="183" t="str">
        <f>IFERROR(IF(데이터입력!$AE$2="추경",VLOOKUP($A69,#REF!,4,FALSE),""),"")</f>
        <v/>
      </c>
      <c r="AC69" s="183" t="str">
        <f>IFERROR(IF(데이터입력!$AE$2="추경",VLOOKUP($A69,#REF!,5,FALSE),""),"")</f>
        <v/>
      </c>
      <c r="AD69" s="183" t="str">
        <f>IFERROR(IF(데이터입력!$AE$2="추경",VLOOKUP($A69,#REF!,6,FALSE),""),"")</f>
        <v/>
      </c>
      <c r="AE69" s="183" t="str">
        <f>IFERROR(IF(데이터입력!$AE$2="추경",VLOOKUP($A69,#REF!,7,FALSE),""),"")</f>
        <v/>
      </c>
      <c r="AF69" s="183"/>
      <c r="AG69" s="184" t="str">
        <f>IFERROR(IF(데이터입력!$AE$2="추경",VLOOKUP($A69,#REF!,9,FALSE),""),"")</f>
        <v/>
      </c>
      <c r="AH69" s="184" t="str">
        <f>IFERROR(IF(데이터입력!$AE$2="추경",VLOOKUP($A69,#REF!,10,FALSE),""),"")</f>
        <v/>
      </c>
      <c r="AI69" s="184" t="str">
        <f>IFERROR(IF(데이터입력!$AE$2="추경",VLOOKUP($A69,#REF!,11,FALSE),""),"")</f>
        <v/>
      </c>
      <c r="AJ69" s="184" t="str">
        <f>IFERROR(IF(데이터입력!$AE$2="추경",VLOOKUP($A69,#REF!,12,FALSE),""),"")</f>
        <v/>
      </c>
      <c r="AK69" s="184" t="str">
        <f>IFERROR(IF(데이터입력!$AE$2="추경",VLOOKUP($A69,#REF!,13,FALSE),""),"")</f>
        <v/>
      </c>
    </row>
    <row r="70" spans="1:37">
      <c r="A70" s="180">
        <v>68</v>
      </c>
      <c r="B70" s="608" t="str">
        <f>IFERROR(IF(F70="06",데이터입력!$AB$8,IF(F70="07",데이터입력!$AD$8,IF(F70="05",데이터입력!$AF$8,데이터입력!$AB$8))),데이터입력!$AB$8)</f>
        <v>00</v>
      </c>
      <c r="C70" s="609" t="str">
        <f>데이터입력!$AC$9</f>
        <v>일반사업[일반]</v>
      </c>
      <c r="D70" s="610" t="str">
        <f>IFERROR(IF(AND(데이터입력!$AE$2="추경",데이터입력!$AM$2=TRUE),VLOOKUP($A70,데이터입력!$A:$H,4,FALSE),""),"")</f>
        <v/>
      </c>
      <c r="E70" s="610" t="str">
        <f>IFERROR(IF(AND(데이터입력!$AE$2="추경",데이터입력!$AM$2=TRUE),VLOOKUP($A70,데이터입력!$A:$H,2,FALSE),""),"")</f>
        <v/>
      </c>
      <c r="F70" s="610" t="str">
        <f>IFERROR(IF(AND(데이터입력!$AE$2="추경",데이터입력!$AM$2=TRUE),VLOOKUP($A70,데이터입력!$A:$H,5,FALSE),""),"")</f>
        <v/>
      </c>
      <c r="G70" s="610" t="str">
        <f>IFERROR(IF(AND(데이터입력!$AE$2="추경",데이터입력!$AM$2=TRUE),VLOOKUP($A70,데이터입력!$A:$H,6,FALSE),""),"")</f>
        <v/>
      </c>
      <c r="H70" s="611" t="str">
        <f>IFERROR(IF(AND(데이터입력!$AE$2="추경",데이터입력!$AM$2=TRUE),VLOOKUP($A70,데이터입력!$A:$L,7,FALSE),""),"")</f>
        <v/>
      </c>
      <c r="I70" s="611" t="str">
        <f>IFERROR(IF(AND(데이터입력!$AE$2="추경",데이터입력!$AM$2=TRUE),VLOOKUP($A70,데이터입력!$A:$L,8,FALSE)+VLOOKUP($A70,데이터입력!$A:$L,9,FALSE)+VLOOKUP($A70,데이터입력!$A:$L,10,FALSE),""),"")</f>
        <v/>
      </c>
      <c r="J70" s="612" t="s">
        <v>135</v>
      </c>
      <c r="K70" s="612" t="s">
        <v>135</v>
      </c>
      <c r="L70" s="612" t="s">
        <v>135</v>
      </c>
      <c r="M70" s="604"/>
      <c r="N70" s="180">
        <v>268</v>
      </c>
      <c r="O70" s="616" t="str">
        <f>IFERROR(IF(S70="06",데이터입력!$AB$8,IF(S70="07",데이터입력!$AD$8,IF(S70="05",데이터입력!$AF$8,데이터입력!$AB$8))),데이터입력!$AB$8)</f>
        <v>00</v>
      </c>
      <c r="P70" s="617" t="str">
        <f>데이터입력!$AC$9</f>
        <v>일반사업[일반]</v>
      </c>
      <c r="Q70" s="618" t="str">
        <f>IFERROR(IF(데이터입력!$AE$2="추경",VLOOKUP($N70,데이터입력!$A:$H,4,FALSE),""),"")</f>
        <v/>
      </c>
      <c r="R70" s="618" t="str">
        <f>IFERROR(IF(데이터입력!$AE$2="추경",VLOOKUP($N70,데이터입력!$A:$H,2,FALSE),""),"")</f>
        <v/>
      </c>
      <c r="S70" s="618" t="str">
        <f>IFERROR(IF(데이터입력!$AE$2="추경",VLOOKUP($N70,데이터입력!$A:$H,5,FALSE),""),"")</f>
        <v/>
      </c>
      <c r="T70" s="618" t="str">
        <f>IFERROR(IF(데이터입력!$AE$2="추경",VLOOKUP($N70,데이터입력!$A:$H,6,FALSE),""),"")</f>
        <v/>
      </c>
      <c r="U70" s="619" t="str">
        <f>IFERROR(IF(데이터입력!$AE$2="추경",VLOOKUP($N70,데이터입력!$A:$L,8,FALSE)+VLOOKUP($N70,데이터입력!$A:$L,9,FALSE)+VLOOKUP($N70,데이터입력!$A:$L,10,FALSE),""),"")</f>
        <v/>
      </c>
      <c r="V70" s="620" t="s">
        <v>135</v>
      </c>
      <c r="W70" s="620" t="s">
        <v>135</v>
      </c>
      <c r="X70" s="620" t="s">
        <v>135</v>
      </c>
      <c r="Y70" s="600"/>
      <c r="Z70" s="182" t="str">
        <f>데이터입력!$AB$8</f>
        <v>00</v>
      </c>
      <c r="AA70" s="185" t="str">
        <f>데이터입력!$AC$9</f>
        <v>일반사업[일반]</v>
      </c>
      <c r="AB70" s="183" t="str">
        <f>IFERROR(IF(데이터입력!$AE$2="추경",VLOOKUP($A70,#REF!,4,FALSE),""),"")</f>
        <v/>
      </c>
      <c r="AC70" s="183" t="str">
        <f>IFERROR(IF(데이터입력!$AE$2="추경",VLOOKUP($A70,#REF!,5,FALSE),""),"")</f>
        <v/>
      </c>
      <c r="AD70" s="183" t="str">
        <f>IFERROR(IF(데이터입력!$AE$2="추경",VLOOKUP($A70,#REF!,6,FALSE),""),"")</f>
        <v/>
      </c>
      <c r="AE70" s="183" t="str">
        <f>IFERROR(IF(데이터입력!$AE$2="추경",VLOOKUP($A70,#REF!,7,FALSE),""),"")</f>
        <v/>
      </c>
      <c r="AF70" s="183"/>
      <c r="AG70" s="184" t="str">
        <f>IFERROR(IF(데이터입력!$AE$2="추경",VLOOKUP($A70,#REF!,9,FALSE),""),"")</f>
        <v/>
      </c>
      <c r="AH70" s="184" t="str">
        <f>IFERROR(IF(데이터입력!$AE$2="추경",VLOOKUP($A70,#REF!,10,FALSE),""),"")</f>
        <v/>
      </c>
      <c r="AI70" s="184" t="str">
        <f>IFERROR(IF(데이터입력!$AE$2="추경",VLOOKUP($A70,#REF!,11,FALSE),""),"")</f>
        <v/>
      </c>
      <c r="AJ70" s="184" t="str">
        <f>IFERROR(IF(데이터입력!$AE$2="추경",VLOOKUP($A70,#REF!,12,FALSE),""),"")</f>
        <v/>
      </c>
      <c r="AK70" s="184" t="str">
        <f>IFERROR(IF(데이터입력!$AE$2="추경",VLOOKUP($A70,#REF!,13,FALSE),""),"")</f>
        <v/>
      </c>
    </row>
    <row r="71" spans="1:37">
      <c r="A71" s="180">
        <v>69</v>
      </c>
      <c r="B71" s="608" t="str">
        <f>IFERROR(IF(F71="06",데이터입력!$AB$8,IF(F71="07",데이터입력!$AD$8,IF(F71="05",데이터입력!$AF$8,데이터입력!$AB$8))),데이터입력!$AB$8)</f>
        <v>00</v>
      </c>
      <c r="C71" s="609" t="str">
        <f>데이터입력!$AC$9</f>
        <v>일반사업[일반]</v>
      </c>
      <c r="D71" s="610" t="str">
        <f>IFERROR(IF(AND(데이터입력!$AE$2="추경",데이터입력!$AM$2=TRUE),VLOOKUP($A71,데이터입력!$A:$H,4,FALSE),""),"")</f>
        <v/>
      </c>
      <c r="E71" s="610" t="str">
        <f>IFERROR(IF(AND(데이터입력!$AE$2="추경",데이터입력!$AM$2=TRUE),VLOOKUP($A71,데이터입력!$A:$H,2,FALSE),""),"")</f>
        <v/>
      </c>
      <c r="F71" s="610" t="str">
        <f>IFERROR(IF(AND(데이터입력!$AE$2="추경",데이터입력!$AM$2=TRUE),VLOOKUP($A71,데이터입력!$A:$H,5,FALSE),""),"")</f>
        <v/>
      </c>
      <c r="G71" s="610" t="str">
        <f>IFERROR(IF(AND(데이터입력!$AE$2="추경",데이터입력!$AM$2=TRUE),VLOOKUP($A71,데이터입력!$A:$H,6,FALSE),""),"")</f>
        <v/>
      </c>
      <c r="H71" s="611" t="str">
        <f>IFERROR(IF(AND(데이터입력!$AE$2="추경",데이터입력!$AM$2=TRUE),VLOOKUP($A71,데이터입력!$A:$L,7,FALSE),""),"")</f>
        <v/>
      </c>
      <c r="I71" s="611" t="str">
        <f>IFERROR(IF(AND(데이터입력!$AE$2="추경",데이터입력!$AM$2=TRUE),VLOOKUP($A71,데이터입력!$A:$L,8,FALSE)+VLOOKUP($A71,데이터입력!$A:$L,9,FALSE)+VLOOKUP($A71,데이터입력!$A:$L,10,FALSE),""),"")</f>
        <v/>
      </c>
      <c r="J71" s="612" t="s">
        <v>135</v>
      </c>
      <c r="K71" s="612" t="s">
        <v>135</v>
      </c>
      <c r="L71" s="612" t="s">
        <v>135</v>
      </c>
      <c r="M71" s="604"/>
      <c r="N71" s="180">
        <v>269</v>
      </c>
      <c r="O71" s="616" t="str">
        <f>IFERROR(IF(S71="06",데이터입력!$AB$8,IF(S71="07",데이터입력!$AD$8,IF(S71="05",데이터입력!$AF$8,데이터입력!$AB$8))),데이터입력!$AB$8)</f>
        <v>00</v>
      </c>
      <c r="P71" s="617" t="str">
        <f>데이터입력!$AC$9</f>
        <v>일반사업[일반]</v>
      </c>
      <c r="Q71" s="618" t="str">
        <f>IFERROR(IF(데이터입력!$AE$2="추경",VLOOKUP($N71,데이터입력!$A:$H,4,FALSE),""),"")</f>
        <v/>
      </c>
      <c r="R71" s="618" t="str">
        <f>IFERROR(IF(데이터입력!$AE$2="추경",VLOOKUP($N71,데이터입력!$A:$H,2,FALSE),""),"")</f>
        <v/>
      </c>
      <c r="S71" s="618" t="str">
        <f>IFERROR(IF(데이터입력!$AE$2="추경",VLOOKUP($N71,데이터입력!$A:$H,5,FALSE),""),"")</f>
        <v/>
      </c>
      <c r="T71" s="618" t="str">
        <f>IFERROR(IF(데이터입력!$AE$2="추경",VLOOKUP($N71,데이터입력!$A:$H,6,FALSE),""),"")</f>
        <v/>
      </c>
      <c r="U71" s="619" t="str">
        <f>IFERROR(IF(데이터입력!$AE$2="추경",VLOOKUP($N71,데이터입력!$A:$L,8,FALSE)+VLOOKUP($N71,데이터입력!$A:$L,9,FALSE)+VLOOKUP($N71,데이터입력!$A:$L,10,FALSE),""),"")</f>
        <v/>
      </c>
      <c r="V71" s="620" t="s">
        <v>135</v>
      </c>
      <c r="W71" s="620" t="s">
        <v>135</v>
      </c>
      <c r="X71" s="620" t="s">
        <v>135</v>
      </c>
      <c r="Y71" s="601"/>
      <c r="Z71" s="182" t="str">
        <f>데이터입력!$AB$8</f>
        <v>00</v>
      </c>
      <c r="AA71" s="185" t="str">
        <f>데이터입력!$AC$9</f>
        <v>일반사업[일반]</v>
      </c>
      <c r="AB71" s="183" t="str">
        <f>IFERROR(IF(데이터입력!$AE$2="추경",VLOOKUP($A71,#REF!,4,FALSE),""),"")</f>
        <v/>
      </c>
      <c r="AC71" s="183" t="str">
        <f>IFERROR(IF(데이터입력!$AE$2="추경",VLOOKUP($A71,#REF!,5,FALSE),""),"")</f>
        <v/>
      </c>
      <c r="AD71" s="183" t="str">
        <f>IFERROR(IF(데이터입력!$AE$2="추경",VLOOKUP($A71,#REF!,6,FALSE),""),"")</f>
        <v/>
      </c>
      <c r="AE71" s="183" t="str">
        <f>IFERROR(IF(데이터입력!$AE$2="추경",VLOOKUP($A71,#REF!,7,FALSE),""),"")</f>
        <v/>
      </c>
      <c r="AF71" s="183"/>
      <c r="AG71" s="184" t="str">
        <f>IFERROR(IF(데이터입력!$AE$2="추경",VLOOKUP($A71,#REF!,9,FALSE),""),"")</f>
        <v/>
      </c>
      <c r="AH71" s="184" t="str">
        <f>IFERROR(IF(데이터입력!$AE$2="추경",VLOOKUP($A71,#REF!,10,FALSE),""),"")</f>
        <v/>
      </c>
      <c r="AI71" s="184" t="str">
        <f>IFERROR(IF(데이터입력!$AE$2="추경",VLOOKUP($A71,#REF!,11,FALSE),""),"")</f>
        <v/>
      </c>
      <c r="AJ71" s="184" t="str">
        <f>IFERROR(IF(데이터입력!$AE$2="추경",VLOOKUP($A71,#REF!,12,FALSE),""),"")</f>
        <v/>
      </c>
      <c r="AK71" s="184" t="str">
        <f>IFERROR(IF(데이터입력!$AE$2="추경",VLOOKUP($A71,#REF!,13,FALSE),""),"")</f>
        <v/>
      </c>
    </row>
    <row r="72" spans="1:37">
      <c r="A72" s="180">
        <v>70</v>
      </c>
      <c r="B72" s="608" t="str">
        <f>IFERROR(IF(F72="06",데이터입력!$AB$8,IF(F72="07",데이터입력!$AD$8,IF(F72="05",데이터입력!$AF$8,데이터입력!$AB$8))),데이터입력!$AB$8)</f>
        <v>00</v>
      </c>
      <c r="C72" s="609" t="str">
        <f>데이터입력!$AC$9</f>
        <v>일반사업[일반]</v>
      </c>
      <c r="D72" s="610" t="str">
        <f>IFERROR(IF(AND(데이터입력!$AE$2="추경",데이터입력!$AM$2=TRUE),VLOOKUP($A72,데이터입력!$A:$H,4,FALSE),""),"")</f>
        <v/>
      </c>
      <c r="E72" s="610" t="str">
        <f>IFERROR(IF(AND(데이터입력!$AE$2="추경",데이터입력!$AM$2=TRUE),VLOOKUP($A72,데이터입력!$A:$H,2,FALSE),""),"")</f>
        <v/>
      </c>
      <c r="F72" s="610" t="str">
        <f>IFERROR(IF(AND(데이터입력!$AE$2="추경",데이터입력!$AM$2=TRUE),VLOOKUP($A72,데이터입력!$A:$H,5,FALSE),""),"")</f>
        <v/>
      </c>
      <c r="G72" s="610" t="str">
        <f>IFERROR(IF(AND(데이터입력!$AE$2="추경",데이터입력!$AM$2=TRUE),VLOOKUP($A72,데이터입력!$A:$H,6,FALSE),""),"")</f>
        <v/>
      </c>
      <c r="H72" s="611" t="str">
        <f>IFERROR(IF(AND(데이터입력!$AE$2="추경",데이터입력!$AM$2=TRUE),VLOOKUP($A72,데이터입력!$A:$L,7,FALSE),""),"")</f>
        <v/>
      </c>
      <c r="I72" s="611" t="str">
        <f>IFERROR(IF(AND(데이터입력!$AE$2="추경",데이터입력!$AM$2=TRUE),VLOOKUP($A72,데이터입력!$A:$L,8,FALSE)+VLOOKUP($A72,데이터입력!$A:$L,9,FALSE)+VLOOKUP($A72,데이터입력!$A:$L,10,FALSE),""),"")</f>
        <v/>
      </c>
      <c r="J72" s="612" t="s">
        <v>135</v>
      </c>
      <c r="K72" s="612" t="s">
        <v>135</v>
      </c>
      <c r="L72" s="612" t="s">
        <v>135</v>
      </c>
      <c r="M72" s="604"/>
      <c r="N72" s="180">
        <v>270</v>
      </c>
      <c r="O72" s="616" t="str">
        <f>IFERROR(IF(S72="06",데이터입력!$AB$8,IF(S72="07",데이터입력!$AD$8,IF(S72="05",데이터입력!$AF$8,데이터입력!$AB$8))),데이터입력!$AB$8)</f>
        <v>00</v>
      </c>
      <c r="P72" s="617" t="str">
        <f>데이터입력!$AC$9</f>
        <v>일반사업[일반]</v>
      </c>
      <c r="Q72" s="618" t="str">
        <f>IFERROR(IF(데이터입력!$AE$2="추경",VLOOKUP($N72,데이터입력!$A:$H,4,FALSE),""),"")</f>
        <v/>
      </c>
      <c r="R72" s="618" t="str">
        <f>IFERROR(IF(데이터입력!$AE$2="추경",VLOOKUP($N72,데이터입력!$A:$H,2,FALSE),""),"")</f>
        <v/>
      </c>
      <c r="S72" s="618" t="str">
        <f>IFERROR(IF(데이터입력!$AE$2="추경",VLOOKUP($N72,데이터입력!$A:$H,5,FALSE),""),"")</f>
        <v/>
      </c>
      <c r="T72" s="618" t="str">
        <f>IFERROR(IF(데이터입력!$AE$2="추경",VLOOKUP($N72,데이터입력!$A:$H,6,FALSE),""),"")</f>
        <v/>
      </c>
      <c r="U72" s="619" t="str">
        <f>IFERROR(IF(데이터입력!$AE$2="추경",VLOOKUP($N72,데이터입력!$A:$L,8,FALSE)+VLOOKUP($N72,데이터입력!$A:$L,9,FALSE)+VLOOKUP($N72,데이터입력!$A:$L,10,FALSE),""),"")</f>
        <v/>
      </c>
      <c r="V72" s="620" t="s">
        <v>135</v>
      </c>
      <c r="W72" s="620" t="s">
        <v>135</v>
      </c>
      <c r="X72" s="620" t="s">
        <v>135</v>
      </c>
      <c r="Y72" s="601"/>
      <c r="Z72" s="182" t="str">
        <f>데이터입력!$AB$8</f>
        <v>00</v>
      </c>
      <c r="AA72" s="185" t="str">
        <f>데이터입력!$AC$9</f>
        <v>일반사업[일반]</v>
      </c>
      <c r="AB72" s="183" t="str">
        <f>IFERROR(IF(데이터입력!$AE$2="추경",VLOOKUP($A72,#REF!,4,FALSE),""),"")</f>
        <v/>
      </c>
      <c r="AC72" s="183" t="str">
        <f>IFERROR(IF(데이터입력!$AE$2="추경",VLOOKUP($A72,#REF!,5,FALSE),""),"")</f>
        <v/>
      </c>
      <c r="AD72" s="183" t="str">
        <f>IFERROR(IF(데이터입력!$AE$2="추경",VLOOKUP($A72,#REF!,6,FALSE),""),"")</f>
        <v/>
      </c>
      <c r="AE72" s="183" t="str">
        <f>IFERROR(IF(데이터입력!$AE$2="추경",VLOOKUP($A72,#REF!,7,FALSE),""),"")</f>
        <v/>
      </c>
      <c r="AF72" s="183"/>
      <c r="AG72" s="184" t="str">
        <f>IFERROR(IF(데이터입력!$AE$2="추경",VLOOKUP($A72,#REF!,9,FALSE),""),"")</f>
        <v/>
      </c>
      <c r="AH72" s="184" t="str">
        <f>IFERROR(IF(데이터입력!$AE$2="추경",VLOOKUP($A72,#REF!,10,FALSE),""),"")</f>
        <v/>
      </c>
      <c r="AI72" s="184" t="str">
        <f>IFERROR(IF(데이터입력!$AE$2="추경",VLOOKUP($A72,#REF!,11,FALSE),""),"")</f>
        <v/>
      </c>
      <c r="AJ72" s="184" t="str">
        <f>IFERROR(IF(데이터입력!$AE$2="추경",VLOOKUP($A72,#REF!,12,FALSE),""),"")</f>
        <v/>
      </c>
      <c r="AK72" s="184" t="str">
        <f>IFERROR(IF(데이터입력!$AE$2="추경",VLOOKUP($A72,#REF!,13,FALSE),""),"")</f>
        <v/>
      </c>
    </row>
    <row r="73" spans="1:37">
      <c r="A73" s="180">
        <v>71</v>
      </c>
      <c r="B73" s="608" t="str">
        <f>IFERROR(IF(F73="06",데이터입력!$AB$8,IF(F73="07",데이터입력!$AD$8,IF(F73="05",데이터입력!$AF$8,데이터입력!$AB$8))),데이터입력!$AB$8)</f>
        <v>00</v>
      </c>
      <c r="C73" s="609" t="str">
        <f>데이터입력!$AC$9</f>
        <v>일반사업[일반]</v>
      </c>
      <c r="D73" s="610" t="str">
        <f>IFERROR(IF(AND(데이터입력!$AE$2="추경",데이터입력!$AM$2=TRUE),VLOOKUP($A73,데이터입력!$A:$H,4,FALSE),""),"")</f>
        <v/>
      </c>
      <c r="E73" s="610" t="str">
        <f>IFERROR(IF(AND(데이터입력!$AE$2="추경",데이터입력!$AM$2=TRUE),VLOOKUP($A73,데이터입력!$A:$H,2,FALSE),""),"")</f>
        <v/>
      </c>
      <c r="F73" s="610" t="str">
        <f>IFERROR(IF(AND(데이터입력!$AE$2="추경",데이터입력!$AM$2=TRUE),VLOOKUP($A73,데이터입력!$A:$H,5,FALSE),""),"")</f>
        <v/>
      </c>
      <c r="G73" s="610" t="str">
        <f>IFERROR(IF(AND(데이터입력!$AE$2="추경",데이터입력!$AM$2=TRUE),VLOOKUP($A73,데이터입력!$A:$H,6,FALSE),""),"")</f>
        <v/>
      </c>
      <c r="H73" s="611" t="str">
        <f>IFERROR(IF(AND(데이터입력!$AE$2="추경",데이터입력!$AM$2=TRUE),VLOOKUP($A73,데이터입력!$A:$L,7,FALSE),""),"")</f>
        <v/>
      </c>
      <c r="I73" s="611" t="str">
        <f>IFERROR(IF(AND(데이터입력!$AE$2="추경",데이터입력!$AM$2=TRUE),VLOOKUP($A73,데이터입력!$A:$L,8,FALSE)+VLOOKUP($A73,데이터입력!$A:$L,9,FALSE)+VLOOKUP($A73,데이터입력!$A:$L,10,FALSE),""),"")</f>
        <v/>
      </c>
      <c r="J73" s="612" t="s">
        <v>135</v>
      </c>
      <c r="K73" s="612" t="s">
        <v>135</v>
      </c>
      <c r="L73" s="612" t="s">
        <v>135</v>
      </c>
      <c r="M73" s="604"/>
      <c r="N73" s="180">
        <v>271</v>
      </c>
      <c r="O73" s="616" t="str">
        <f>IFERROR(IF(S73="06",데이터입력!$AB$8,IF(S73="07",데이터입력!$AD$8,IF(S73="05",데이터입력!$AF$8,데이터입력!$AB$8))),데이터입력!$AB$8)</f>
        <v>00</v>
      </c>
      <c r="P73" s="617" t="str">
        <f>데이터입력!$AC$9</f>
        <v>일반사업[일반]</v>
      </c>
      <c r="Q73" s="618" t="str">
        <f>IFERROR(IF(데이터입력!$AE$2="추경",VLOOKUP($N73,데이터입력!$A:$H,4,FALSE),""),"")</f>
        <v/>
      </c>
      <c r="R73" s="618" t="str">
        <f>IFERROR(IF(데이터입력!$AE$2="추경",VLOOKUP($N73,데이터입력!$A:$H,2,FALSE),""),"")</f>
        <v/>
      </c>
      <c r="S73" s="618" t="str">
        <f>IFERROR(IF(데이터입력!$AE$2="추경",VLOOKUP($N73,데이터입력!$A:$H,5,FALSE),""),"")</f>
        <v/>
      </c>
      <c r="T73" s="618" t="str">
        <f>IFERROR(IF(데이터입력!$AE$2="추경",VLOOKUP($N73,데이터입력!$A:$H,6,FALSE),""),"")</f>
        <v/>
      </c>
      <c r="U73" s="619" t="str">
        <f>IFERROR(IF(데이터입력!$AE$2="추경",VLOOKUP($N73,데이터입력!$A:$L,8,FALSE)+VLOOKUP($N73,데이터입력!$A:$L,9,FALSE)+VLOOKUP($N73,데이터입력!$A:$L,10,FALSE),""),"")</f>
        <v/>
      </c>
      <c r="V73" s="620" t="s">
        <v>135</v>
      </c>
      <c r="W73" s="620" t="s">
        <v>135</v>
      </c>
      <c r="X73" s="620" t="s">
        <v>135</v>
      </c>
      <c r="Y73" s="601"/>
      <c r="Z73" s="182" t="str">
        <f>데이터입력!$AB$8</f>
        <v>00</v>
      </c>
      <c r="AA73" s="185" t="str">
        <f>데이터입력!$AC$9</f>
        <v>일반사업[일반]</v>
      </c>
      <c r="AB73" s="183" t="str">
        <f>IFERROR(IF(데이터입력!$AE$2="추경",VLOOKUP($A73,#REF!,4,FALSE),""),"")</f>
        <v/>
      </c>
      <c r="AC73" s="183" t="str">
        <f>IFERROR(IF(데이터입력!$AE$2="추경",VLOOKUP($A73,#REF!,5,FALSE),""),"")</f>
        <v/>
      </c>
      <c r="AD73" s="183" t="str">
        <f>IFERROR(IF(데이터입력!$AE$2="추경",VLOOKUP($A73,#REF!,6,FALSE),""),"")</f>
        <v/>
      </c>
      <c r="AE73" s="183" t="str">
        <f>IFERROR(IF(데이터입력!$AE$2="추경",VLOOKUP($A73,#REF!,7,FALSE),""),"")</f>
        <v/>
      </c>
      <c r="AF73" s="183"/>
      <c r="AG73" s="184" t="str">
        <f>IFERROR(IF(데이터입력!$AE$2="추경",VLOOKUP($A73,#REF!,9,FALSE),""),"")</f>
        <v/>
      </c>
      <c r="AH73" s="184" t="str">
        <f>IFERROR(IF(데이터입력!$AE$2="추경",VLOOKUP($A73,#REF!,10,FALSE),""),"")</f>
        <v/>
      </c>
      <c r="AI73" s="184" t="str">
        <f>IFERROR(IF(데이터입력!$AE$2="추경",VLOOKUP($A73,#REF!,11,FALSE),""),"")</f>
        <v/>
      </c>
      <c r="AJ73" s="184" t="str">
        <f>IFERROR(IF(데이터입력!$AE$2="추경",VLOOKUP($A73,#REF!,12,FALSE),""),"")</f>
        <v/>
      </c>
      <c r="AK73" s="184" t="str">
        <f>IFERROR(IF(데이터입력!$AE$2="추경",VLOOKUP($A73,#REF!,13,FALSE),""),"")</f>
        <v/>
      </c>
    </row>
    <row r="74" spans="1:37">
      <c r="A74" s="180">
        <v>72</v>
      </c>
      <c r="B74" s="608" t="str">
        <f>IFERROR(IF(F74="06",데이터입력!$AB$8,IF(F74="07",데이터입력!$AD$8,IF(F74="05",데이터입력!$AF$8,데이터입력!$AB$8))),데이터입력!$AB$8)</f>
        <v>00</v>
      </c>
      <c r="C74" s="609" t="str">
        <f>데이터입력!$AC$9</f>
        <v>일반사업[일반]</v>
      </c>
      <c r="D74" s="610" t="str">
        <f>IFERROR(IF(AND(데이터입력!$AE$2="추경",데이터입력!$AM$2=TRUE),VLOOKUP($A74,데이터입력!$A:$H,4,FALSE),""),"")</f>
        <v/>
      </c>
      <c r="E74" s="610" t="str">
        <f>IFERROR(IF(AND(데이터입력!$AE$2="추경",데이터입력!$AM$2=TRUE),VLOOKUP($A74,데이터입력!$A:$H,2,FALSE),""),"")</f>
        <v/>
      </c>
      <c r="F74" s="610" t="str">
        <f>IFERROR(IF(AND(데이터입력!$AE$2="추경",데이터입력!$AM$2=TRUE),VLOOKUP($A74,데이터입력!$A:$H,5,FALSE),""),"")</f>
        <v/>
      </c>
      <c r="G74" s="610" t="str">
        <f>IFERROR(IF(AND(데이터입력!$AE$2="추경",데이터입력!$AM$2=TRUE),VLOOKUP($A74,데이터입력!$A:$H,6,FALSE),""),"")</f>
        <v/>
      </c>
      <c r="H74" s="611" t="str">
        <f>IFERROR(IF(AND(데이터입력!$AE$2="추경",데이터입력!$AM$2=TRUE),VLOOKUP($A74,데이터입력!$A:$L,7,FALSE),""),"")</f>
        <v/>
      </c>
      <c r="I74" s="611" t="str">
        <f>IFERROR(IF(AND(데이터입력!$AE$2="추경",데이터입력!$AM$2=TRUE),VLOOKUP($A74,데이터입력!$A:$L,8,FALSE)+VLOOKUP($A74,데이터입력!$A:$L,9,FALSE)+VLOOKUP($A74,데이터입력!$A:$L,10,FALSE),""),"")</f>
        <v/>
      </c>
      <c r="J74" s="612" t="s">
        <v>135</v>
      </c>
      <c r="K74" s="612" t="s">
        <v>135</v>
      </c>
      <c r="L74" s="612" t="s">
        <v>135</v>
      </c>
      <c r="M74" s="604"/>
      <c r="N74" s="180">
        <v>272</v>
      </c>
      <c r="O74" s="616" t="str">
        <f>IFERROR(IF(S74="06",데이터입력!$AB$8,IF(S74="07",데이터입력!$AD$8,IF(S74="05",데이터입력!$AF$8,데이터입력!$AB$8))),데이터입력!$AB$8)</f>
        <v>00</v>
      </c>
      <c r="P74" s="617" t="str">
        <f>데이터입력!$AC$9</f>
        <v>일반사업[일반]</v>
      </c>
      <c r="Q74" s="618" t="str">
        <f>IFERROR(IF(데이터입력!$AE$2="추경",VLOOKUP($N74,데이터입력!$A:$H,4,FALSE),""),"")</f>
        <v/>
      </c>
      <c r="R74" s="618" t="str">
        <f>IFERROR(IF(데이터입력!$AE$2="추경",VLOOKUP($N74,데이터입력!$A:$H,2,FALSE),""),"")</f>
        <v/>
      </c>
      <c r="S74" s="618" t="str">
        <f>IFERROR(IF(데이터입력!$AE$2="추경",VLOOKUP($N74,데이터입력!$A:$H,5,FALSE),""),"")</f>
        <v/>
      </c>
      <c r="T74" s="618" t="str">
        <f>IFERROR(IF(데이터입력!$AE$2="추경",VLOOKUP($N74,데이터입력!$A:$H,6,FALSE),""),"")</f>
        <v/>
      </c>
      <c r="U74" s="619" t="str">
        <f>IFERROR(IF(데이터입력!$AE$2="추경",VLOOKUP($N74,데이터입력!$A:$L,8,FALSE)+VLOOKUP($N74,데이터입력!$A:$L,9,FALSE)+VLOOKUP($N74,데이터입력!$A:$L,10,FALSE),""),"")</f>
        <v/>
      </c>
      <c r="V74" s="620" t="s">
        <v>135</v>
      </c>
      <c r="W74" s="620" t="s">
        <v>135</v>
      </c>
      <c r="X74" s="620" t="s">
        <v>135</v>
      </c>
      <c r="Y74" s="601"/>
      <c r="Z74" s="182" t="str">
        <f>데이터입력!$AB$8</f>
        <v>00</v>
      </c>
      <c r="AA74" s="185" t="str">
        <f>데이터입력!$AC$9</f>
        <v>일반사업[일반]</v>
      </c>
      <c r="AB74" s="183" t="str">
        <f>IFERROR(IF(데이터입력!$AE$2="추경",VLOOKUP($A74,#REF!,4,FALSE),""),"")</f>
        <v/>
      </c>
      <c r="AC74" s="183" t="str">
        <f>IFERROR(IF(데이터입력!$AE$2="추경",VLOOKUP($A74,#REF!,5,FALSE),""),"")</f>
        <v/>
      </c>
      <c r="AD74" s="183" t="str">
        <f>IFERROR(IF(데이터입력!$AE$2="추경",VLOOKUP($A74,#REF!,6,FALSE),""),"")</f>
        <v/>
      </c>
      <c r="AE74" s="183" t="str">
        <f>IFERROR(IF(데이터입력!$AE$2="추경",VLOOKUP($A74,#REF!,7,FALSE),""),"")</f>
        <v/>
      </c>
      <c r="AF74" s="183"/>
      <c r="AG74" s="184" t="str">
        <f>IFERROR(IF(데이터입력!$AE$2="추경",VLOOKUP($A74,#REF!,9,FALSE),""),"")</f>
        <v/>
      </c>
      <c r="AH74" s="184" t="str">
        <f>IFERROR(IF(데이터입력!$AE$2="추경",VLOOKUP($A74,#REF!,10,FALSE),""),"")</f>
        <v/>
      </c>
      <c r="AI74" s="184" t="str">
        <f>IFERROR(IF(데이터입력!$AE$2="추경",VLOOKUP($A74,#REF!,11,FALSE),""),"")</f>
        <v/>
      </c>
      <c r="AJ74" s="184" t="str">
        <f>IFERROR(IF(데이터입력!$AE$2="추경",VLOOKUP($A74,#REF!,12,FALSE),""),"")</f>
        <v/>
      </c>
      <c r="AK74" s="184" t="str">
        <f>IFERROR(IF(데이터입력!$AE$2="추경",VLOOKUP($A74,#REF!,13,FALSE),""),"")</f>
        <v/>
      </c>
    </row>
    <row r="75" spans="1:37">
      <c r="A75" s="180">
        <v>73</v>
      </c>
      <c r="B75" s="608" t="str">
        <f>IFERROR(IF(F75="06",데이터입력!$AB$8,IF(F75="07",데이터입력!$AD$8,IF(F75="05",데이터입력!$AF$8,데이터입력!$AB$8))),데이터입력!$AB$8)</f>
        <v>00</v>
      </c>
      <c r="C75" s="609" t="str">
        <f>데이터입력!$AC$9</f>
        <v>일반사업[일반]</v>
      </c>
      <c r="D75" s="610" t="str">
        <f>IFERROR(IF(AND(데이터입력!$AE$2="추경",데이터입력!$AM$2=TRUE),VLOOKUP($A75,데이터입력!$A:$H,4,FALSE),""),"")</f>
        <v/>
      </c>
      <c r="E75" s="610" t="str">
        <f>IFERROR(IF(AND(데이터입력!$AE$2="추경",데이터입력!$AM$2=TRUE),VLOOKUP($A75,데이터입력!$A:$H,2,FALSE),""),"")</f>
        <v/>
      </c>
      <c r="F75" s="610" t="str">
        <f>IFERROR(IF(AND(데이터입력!$AE$2="추경",데이터입력!$AM$2=TRUE),VLOOKUP($A75,데이터입력!$A:$H,5,FALSE),""),"")</f>
        <v/>
      </c>
      <c r="G75" s="610" t="str">
        <f>IFERROR(IF(AND(데이터입력!$AE$2="추경",데이터입력!$AM$2=TRUE),VLOOKUP($A75,데이터입력!$A:$H,6,FALSE),""),"")</f>
        <v/>
      </c>
      <c r="H75" s="611" t="str">
        <f>IFERROR(IF(AND(데이터입력!$AE$2="추경",데이터입력!$AM$2=TRUE),VLOOKUP($A75,데이터입력!$A:$L,7,FALSE),""),"")</f>
        <v/>
      </c>
      <c r="I75" s="611" t="str">
        <f>IFERROR(IF(AND(데이터입력!$AE$2="추경",데이터입력!$AM$2=TRUE),VLOOKUP($A75,데이터입력!$A:$L,8,FALSE)+VLOOKUP($A75,데이터입력!$A:$L,9,FALSE)+VLOOKUP($A75,데이터입력!$A:$L,10,FALSE),""),"")</f>
        <v/>
      </c>
      <c r="J75" s="612" t="s">
        <v>135</v>
      </c>
      <c r="K75" s="612" t="s">
        <v>135</v>
      </c>
      <c r="L75" s="612" t="s">
        <v>135</v>
      </c>
      <c r="M75" s="604"/>
      <c r="N75" s="180">
        <v>273</v>
      </c>
      <c r="O75" s="616" t="str">
        <f>IFERROR(IF(S75="06",데이터입력!$AB$8,IF(S75="07",데이터입력!$AD$8,IF(S75="05",데이터입력!$AF$8,데이터입력!$AB$8))),데이터입력!$AB$8)</f>
        <v>00</v>
      </c>
      <c r="P75" s="617" t="str">
        <f>데이터입력!$AC$9</f>
        <v>일반사업[일반]</v>
      </c>
      <c r="Q75" s="618" t="str">
        <f>IFERROR(IF(데이터입력!$AE$2="추경",VLOOKUP($N75,데이터입력!$A:$H,4,FALSE),""),"")</f>
        <v/>
      </c>
      <c r="R75" s="618" t="str">
        <f>IFERROR(IF(데이터입력!$AE$2="추경",VLOOKUP($N75,데이터입력!$A:$H,2,FALSE),""),"")</f>
        <v/>
      </c>
      <c r="S75" s="618" t="str">
        <f>IFERROR(IF(데이터입력!$AE$2="추경",VLOOKUP($N75,데이터입력!$A:$H,5,FALSE),""),"")</f>
        <v/>
      </c>
      <c r="T75" s="618" t="str">
        <f>IFERROR(IF(데이터입력!$AE$2="추경",VLOOKUP($N75,데이터입력!$A:$H,6,FALSE),""),"")</f>
        <v/>
      </c>
      <c r="U75" s="619" t="str">
        <f>IFERROR(IF(데이터입력!$AE$2="추경",VLOOKUP($N75,데이터입력!$A:$L,8,FALSE)+VLOOKUP($N75,데이터입력!$A:$L,9,FALSE)+VLOOKUP($N75,데이터입력!$A:$L,10,FALSE),""),"")</f>
        <v/>
      </c>
      <c r="V75" s="620" t="s">
        <v>135</v>
      </c>
      <c r="W75" s="620" t="s">
        <v>135</v>
      </c>
      <c r="X75" s="620" t="s">
        <v>135</v>
      </c>
      <c r="Y75" s="601"/>
      <c r="Z75" s="182" t="str">
        <f>데이터입력!$AB$8</f>
        <v>00</v>
      </c>
      <c r="AA75" s="185" t="str">
        <f>데이터입력!$AC$9</f>
        <v>일반사업[일반]</v>
      </c>
      <c r="AB75" s="183" t="str">
        <f>IFERROR(IF(데이터입력!$AE$2="추경",VLOOKUP($A75,#REF!,4,FALSE),""),"")</f>
        <v/>
      </c>
      <c r="AC75" s="183" t="str">
        <f>IFERROR(IF(데이터입력!$AE$2="추경",VLOOKUP($A75,#REF!,5,FALSE),""),"")</f>
        <v/>
      </c>
      <c r="AD75" s="183" t="str">
        <f>IFERROR(IF(데이터입력!$AE$2="추경",VLOOKUP($A75,#REF!,6,FALSE),""),"")</f>
        <v/>
      </c>
      <c r="AE75" s="183" t="str">
        <f>IFERROR(IF(데이터입력!$AE$2="추경",VLOOKUP($A75,#REF!,7,FALSE),""),"")</f>
        <v/>
      </c>
      <c r="AF75" s="183"/>
      <c r="AG75" s="184" t="str">
        <f>IFERROR(IF(데이터입력!$AE$2="추경",VLOOKUP($A75,#REF!,9,FALSE),""),"")</f>
        <v/>
      </c>
      <c r="AH75" s="184" t="str">
        <f>IFERROR(IF(데이터입력!$AE$2="추경",VLOOKUP($A75,#REF!,10,FALSE),""),"")</f>
        <v/>
      </c>
      <c r="AI75" s="184" t="str">
        <f>IFERROR(IF(데이터입력!$AE$2="추경",VLOOKUP($A75,#REF!,11,FALSE),""),"")</f>
        <v/>
      </c>
      <c r="AJ75" s="184" t="str">
        <f>IFERROR(IF(데이터입력!$AE$2="추경",VLOOKUP($A75,#REF!,12,FALSE),""),"")</f>
        <v/>
      </c>
      <c r="AK75" s="184" t="str">
        <f>IFERROR(IF(데이터입력!$AE$2="추경",VLOOKUP($A75,#REF!,13,FALSE),""),"")</f>
        <v/>
      </c>
    </row>
    <row r="76" spans="1:37">
      <c r="A76" s="180">
        <v>74</v>
      </c>
      <c r="B76" s="608" t="str">
        <f>IFERROR(IF(F76="06",데이터입력!$AB$8,IF(F76="07",데이터입력!$AD$8,IF(F76="05",데이터입력!$AF$8,데이터입력!$AB$8))),데이터입력!$AB$8)</f>
        <v>00</v>
      </c>
      <c r="C76" s="609" t="str">
        <f>데이터입력!$AC$9</f>
        <v>일반사업[일반]</v>
      </c>
      <c r="D76" s="610" t="str">
        <f>IFERROR(IF(AND(데이터입력!$AE$2="추경",데이터입력!$AM$2=TRUE),VLOOKUP($A76,데이터입력!$A:$H,4,FALSE),""),"")</f>
        <v/>
      </c>
      <c r="E76" s="610" t="str">
        <f>IFERROR(IF(AND(데이터입력!$AE$2="추경",데이터입력!$AM$2=TRUE),VLOOKUP($A76,데이터입력!$A:$H,2,FALSE),""),"")</f>
        <v/>
      </c>
      <c r="F76" s="610" t="str">
        <f>IFERROR(IF(AND(데이터입력!$AE$2="추경",데이터입력!$AM$2=TRUE),VLOOKUP($A76,데이터입력!$A:$H,5,FALSE),""),"")</f>
        <v/>
      </c>
      <c r="G76" s="610" t="str">
        <f>IFERROR(IF(AND(데이터입력!$AE$2="추경",데이터입력!$AM$2=TRUE),VLOOKUP($A76,데이터입력!$A:$H,6,FALSE),""),"")</f>
        <v/>
      </c>
      <c r="H76" s="611" t="str">
        <f>IFERROR(IF(AND(데이터입력!$AE$2="추경",데이터입력!$AM$2=TRUE),VLOOKUP($A76,데이터입력!$A:$L,7,FALSE),""),"")</f>
        <v/>
      </c>
      <c r="I76" s="611" t="str">
        <f>IFERROR(IF(AND(데이터입력!$AE$2="추경",데이터입력!$AM$2=TRUE),VLOOKUP($A76,데이터입력!$A:$L,8,FALSE)+VLOOKUP($A76,데이터입력!$A:$L,9,FALSE)+VLOOKUP($A76,데이터입력!$A:$L,10,FALSE),""),"")</f>
        <v/>
      </c>
      <c r="J76" s="612" t="s">
        <v>135</v>
      </c>
      <c r="K76" s="612" t="s">
        <v>135</v>
      </c>
      <c r="L76" s="612" t="s">
        <v>135</v>
      </c>
      <c r="M76" s="604"/>
      <c r="N76" s="180">
        <v>274</v>
      </c>
      <c r="O76" s="616" t="str">
        <f>IFERROR(IF(S76="06",데이터입력!$AB$8,IF(S76="07",데이터입력!$AD$8,IF(S76="05",데이터입력!$AF$8,데이터입력!$AB$8))),데이터입력!$AB$8)</f>
        <v>00</v>
      </c>
      <c r="P76" s="617" t="str">
        <f>데이터입력!$AC$9</f>
        <v>일반사업[일반]</v>
      </c>
      <c r="Q76" s="618" t="str">
        <f>IFERROR(IF(데이터입력!$AE$2="추경",VLOOKUP($N76,데이터입력!$A:$H,4,FALSE),""),"")</f>
        <v/>
      </c>
      <c r="R76" s="618" t="str">
        <f>IFERROR(IF(데이터입력!$AE$2="추경",VLOOKUP($N76,데이터입력!$A:$H,2,FALSE),""),"")</f>
        <v/>
      </c>
      <c r="S76" s="618" t="str">
        <f>IFERROR(IF(데이터입력!$AE$2="추경",VLOOKUP($N76,데이터입력!$A:$H,5,FALSE),""),"")</f>
        <v/>
      </c>
      <c r="T76" s="618" t="str">
        <f>IFERROR(IF(데이터입력!$AE$2="추경",VLOOKUP($N76,데이터입력!$A:$H,6,FALSE),""),"")</f>
        <v/>
      </c>
      <c r="U76" s="619" t="str">
        <f>IFERROR(IF(데이터입력!$AE$2="추경",VLOOKUP($N76,데이터입력!$A:$L,8,FALSE)+VLOOKUP($N76,데이터입력!$A:$L,9,FALSE)+VLOOKUP($N76,데이터입력!$A:$L,10,FALSE),""),"")</f>
        <v/>
      </c>
      <c r="V76" s="620" t="s">
        <v>135</v>
      </c>
      <c r="W76" s="620" t="s">
        <v>135</v>
      </c>
      <c r="X76" s="620" t="s">
        <v>135</v>
      </c>
      <c r="Y76" s="601"/>
      <c r="Z76" s="182" t="str">
        <f>데이터입력!$AB$8</f>
        <v>00</v>
      </c>
      <c r="AA76" s="185" t="str">
        <f>데이터입력!$AC$9</f>
        <v>일반사업[일반]</v>
      </c>
      <c r="AB76" s="183" t="str">
        <f>IFERROR(IF(데이터입력!$AE$2="추경",VLOOKUP($A76,#REF!,4,FALSE),""),"")</f>
        <v/>
      </c>
      <c r="AC76" s="183" t="str">
        <f>IFERROR(IF(데이터입력!$AE$2="추경",VLOOKUP($A76,#REF!,5,FALSE),""),"")</f>
        <v/>
      </c>
      <c r="AD76" s="183" t="str">
        <f>IFERROR(IF(데이터입력!$AE$2="추경",VLOOKUP($A76,#REF!,6,FALSE),""),"")</f>
        <v/>
      </c>
      <c r="AE76" s="183" t="str">
        <f>IFERROR(IF(데이터입력!$AE$2="추경",VLOOKUP($A76,#REF!,7,FALSE),""),"")</f>
        <v/>
      </c>
      <c r="AF76" s="183"/>
      <c r="AG76" s="184" t="str">
        <f>IFERROR(IF(데이터입력!$AE$2="추경",VLOOKUP($A76,#REF!,9,FALSE),""),"")</f>
        <v/>
      </c>
      <c r="AH76" s="184" t="str">
        <f>IFERROR(IF(데이터입력!$AE$2="추경",VLOOKUP($A76,#REF!,10,FALSE),""),"")</f>
        <v/>
      </c>
      <c r="AI76" s="184" t="str">
        <f>IFERROR(IF(데이터입력!$AE$2="추경",VLOOKUP($A76,#REF!,11,FALSE),""),"")</f>
        <v/>
      </c>
      <c r="AJ76" s="184" t="str">
        <f>IFERROR(IF(데이터입력!$AE$2="추경",VLOOKUP($A76,#REF!,12,FALSE),""),"")</f>
        <v/>
      </c>
      <c r="AK76" s="184" t="str">
        <f>IFERROR(IF(데이터입력!$AE$2="추경",VLOOKUP($A76,#REF!,13,FALSE),""),"")</f>
        <v/>
      </c>
    </row>
    <row r="77" spans="1:37">
      <c r="A77" s="180">
        <v>75</v>
      </c>
      <c r="B77" s="608" t="str">
        <f>IFERROR(IF(F77="06",데이터입력!$AB$8,IF(F77="07",데이터입력!$AD$8,IF(F77="05",데이터입력!$AF$8,데이터입력!$AB$8))),데이터입력!$AB$8)</f>
        <v>00</v>
      </c>
      <c r="C77" s="609" t="str">
        <f>데이터입력!$AC$9</f>
        <v>일반사업[일반]</v>
      </c>
      <c r="D77" s="610" t="str">
        <f>IFERROR(IF(AND(데이터입력!$AE$2="추경",데이터입력!$AM$2=TRUE),VLOOKUP($A77,데이터입력!$A:$H,4,FALSE),""),"")</f>
        <v/>
      </c>
      <c r="E77" s="610" t="str">
        <f>IFERROR(IF(AND(데이터입력!$AE$2="추경",데이터입력!$AM$2=TRUE),VLOOKUP($A77,데이터입력!$A:$H,2,FALSE),""),"")</f>
        <v/>
      </c>
      <c r="F77" s="610" t="str">
        <f>IFERROR(IF(AND(데이터입력!$AE$2="추경",데이터입력!$AM$2=TRUE),VLOOKUP($A77,데이터입력!$A:$H,5,FALSE),""),"")</f>
        <v/>
      </c>
      <c r="G77" s="610" t="str">
        <f>IFERROR(IF(AND(데이터입력!$AE$2="추경",데이터입력!$AM$2=TRUE),VLOOKUP($A77,데이터입력!$A:$H,6,FALSE),""),"")</f>
        <v/>
      </c>
      <c r="H77" s="611" t="str">
        <f>IFERROR(IF(AND(데이터입력!$AE$2="추경",데이터입력!$AM$2=TRUE),VLOOKUP($A77,데이터입력!$A:$L,7,FALSE),""),"")</f>
        <v/>
      </c>
      <c r="I77" s="611" t="str">
        <f>IFERROR(IF(AND(데이터입력!$AE$2="추경",데이터입력!$AM$2=TRUE),VLOOKUP($A77,데이터입력!$A:$L,8,FALSE)+VLOOKUP($A77,데이터입력!$A:$L,9,FALSE)+VLOOKUP($A77,데이터입력!$A:$L,10,FALSE),""),"")</f>
        <v/>
      </c>
      <c r="J77" s="612" t="s">
        <v>135</v>
      </c>
      <c r="K77" s="612" t="s">
        <v>135</v>
      </c>
      <c r="L77" s="612" t="s">
        <v>135</v>
      </c>
      <c r="M77" s="604"/>
      <c r="N77" s="180">
        <v>275</v>
      </c>
      <c r="O77" s="616" t="str">
        <f>IFERROR(IF(S77="06",데이터입력!$AB$8,IF(S77="07",데이터입력!$AD$8,IF(S77="05",데이터입력!$AF$8,데이터입력!$AB$8))),데이터입력!$AB$8)</f>
        <v>00</v>
      </c>
      <c r="P77" s="617" t="str">
        <f>데이터입력!$AC$9</f>
        <v>일반사업[일반]</v>
      </c>
      <c r="Q77" s="618" t="str">
        <f>IFERROR(IF(데이터입력!$AE$2="추경",VLOOKUP($N77,데이터입력!$A:$H,4,FALSE),""),"")</f>
        <v/>
      </c>
      <c r="R77" s="618" t="str">
        <f>IFERROR(IF(데이터입력!$AE$2="추경",VLOOKUP($N77,데이터입력!$A:$H,2,FALSE),""),"")</f>
        <v/>
      </c>
      <c r="S77" s="618" t="str">
        <f>IFERROR(IF(데이터입력!$AE$2="추경",VLOOKUP($N77,데이터입력!$A:$H,5,FALSE),""),"")</f>
        <v/>
      </c>
      <c r="T77" s="618" t="str">
        <f>IFERROR(IF(데이터입력!$AE$2="추경",VLOOKUP($N77,데이터입력!$A:$H,6,FALSE),""),"")</f>
        <v/>
      </c>
      <c r="U77" s="619" t="str">
        <f>IFERROR(IF(데이터입력!$AE$2="추경",VLOOKUP($N77,데이터입력!$A:$L,8,FALSE)+VLOOKUP($N77,데이터입력!$A:$L,9,FALSE)+VLOOKUP($N77,데이터입력!$A:$L,10,FALSE),""),"")</f>
        <v/>
      </c>
      <c r="V77" s="620" t="s">
        <v>135</v>
      </c>
      <c r="W77" s="620" t="s">
        <v>135</v>
      </c>
      <c r="X77" s="620" t="s">
        <v>135</v>
      </c>
      <c r="Y77" s="601"/>
      <c r="Z77" s="182" t="str">
        <f>데이터입력!$AB$8</f>
        <v>00</v>
      </c>
      <c r="AA77" s="185" t="str">
        <f>데이터입력!$AC$9</f>
        <v>일반사업[일반]</v>
      </c>
      <c r="AB77" s="183" t="str">
        <f>IFERROR(IF(데이터입력!$AE$2="추경",VLOOKUP($A77,#REF!,4,FALSE),""),"")</f>
        <v/>
      </c>
      <c r="AC77" s="183" t="str">
        <f>IFERROR(IF(데이터입력!$AE$2="추경",VLOOKUP($A77,#REF!,5,FALSE),""),"")</f>
        <v/>
      </c>
      <c r="AD77" s="183" t="str">
        <f>IFERROR(IF(데이터입력!$AE$2="추경",VLOOKUP($A77,#REF!,6,FALSE),""),"")</f>
        <v/>
      </c>
      <c r="AE77" s="183" t="str">
        <f>IFERROR(IF(데이터입력!$AE$2="추경",VLOOKUP($A77,#REF!,7,FALSE),""),"")</f>
        <v/>
      </c>
      <c r="AF77" s="183"/>
      <c r="AG77" s="184" t="str">
        <f>IFERROR(IF(데이터입력!$AE$2="추경",VLOOKUP($A77,#REF!,9,FALSE),""),"")</f>
        <v/>
      </c>
      <c r="AH77" s="184" t="str">
        <f>IFERROR(IF(데이터입력!$AE$2="추경",VLOOKUP($A77,#REF!,10,FALSE),""),"")</f>
        <v/>
      </c>
      <c r="AI77" s="184" t="str">
        <f>IFERROR(IF(데이터입력!$AE$2="추경",VLOOKUP($A77,#REF!,11,FALSE),""),"")</f>
        <v/>
      </c>
      <c r="AJ77" s="184" t="str">
        <f>IFERROR(IF(데이터입력!$AE$2="추경",VLOOKUP($A77,#REF!,12,FALSE),""),"")</f>
        <v/>
      </c>
      <c r="AK77" s="184" t="str">
        <f>IFERROR(IF(데이터입력!$AE$2="추경",VLOOKUP($A77,#REF!,13,FALSE),""),"")</f>
        <v/>
      </c>
    </row>
    <row r="78" spans="1:37">
      <c r="A78" s="180">
        <v>76</v>
      </c>
      <c r="B78" s="608" t="str">
        <f>IFERROR(IF(F78="06",데이터입력!$AB$8,IF(F78="07",데이터입력!$AD$8,IF(F78="05",데이터입력!$AF$8,데이터입력!$AB$8))),데이터입력!$AB$8)</f>
        <v>00</v>
      </c>
      <c r="C78" s="609" t="str">
        <f>데이터입력!$AC$9</f>
        <v>일반사업[일반]</v>
      </c>
      <c r="D78" s="610" t="str">
        <f>IFERROR(IF(AND(데이터입력!$AE$2="추경",데이터입력!$AM$2=TRUE),VLOOKUP($A78,데이터입력!$A:$H,4,FALSE),""),"")</f>
        <v/>
      </c>
      <c r="E78" s="610" t="str">
        <f>IFERROR(IF(AND(데이터입력!$AE$2="추경",데이터입력!$AM$2=TRUE),VLOOKUP($A78,데이터입력!$A:$H,2,FALSE),""),"")</f>
        <v/>
      </c>
      <c r="F78" s="610" t="str">
        <f>IFERROR(IF(AND(데이터입력!$AE$2="추경",데이터입력!$AM$2=TRUE),VLOOKUP($A78,데이터입력!$A:$H,5,FALSE),""),"")</f>
        <v/>
      </c>
      <c r="G78" s="610" t="str">
        <f>IFERROR(IF(AND(데이터입력!$AE$2="추경",데이터입력!$AM$2=TRUE),VLOOKUP($A78,데이터입력!$A:$H,6,FALSE),""),"")</f>
        <v/>
      </c>
      <c r="H78" s="611" t="str">
        <f>IFERROR(IF(AND(데이터입력!$AE$2="추경",데이터입력!$AM$2=TRUE),VLOOKUP($A78,데이터입력!$A:$L,7,FALSE),""),"")</f>
        <v/>
      </c>
      <c r="I78" s="611" t="str">
        <f>IFERROR(IF(AND(데이터입력!$AE$2="추경",데이터입력!$AM$2=TRUE),VLOOKUP($A78,데이터입력!$A:$L,8,FALSE)+VLOOKUP($A78,데이터입력!$A:$L,9,FALSE)+VLOOKUP($A78,데이터입력!$A:$L,10,FALSE),""),"")</f>
        <v/>
      </c>
      <c r="J78" s="612" t="s">
        <v>135</v>
      </c>
      <c r="K78" s="612" t="s">
        <v>135</v>
      </c>
      <c r="L78" s="612" t="s">
        <v>135</v>
      </c>
      <c r="M78" s="604"/>
      <c r="N78" s="180">
        <v>276</v>
      </c>
      <c r="O78" s="616" t="str">
        <f>IFERROR(IF(S78="06",데이터입력!$AB$8,IF(S78="07",데이터입력!$AD$8,IF(S78="05",데이터입력!$AF$8,데이터입력!$AB$8))),데이터입력!$AB$8)</f>
        <v>00</v>
      </c>
      <c r="P78" s="617" t="str">
        <f>데이터입력!$AC$9</f>
        <v>일반사업[일반]</v>
      </c>
      <c r="Q78" s="618" t="str">
        <f>IFERROR(IF(데이터입력!$AE$2="추경",VLOOKUP($N78,데이터입력!$A:$H,4,FALSE),""),"")</f>
        <v/>
      </c>
      <c r="R78" s="618" t="str">
        <f>IFERROR(IF(데이터입력!$AE$2="추경",VLOOKUP($N78,데이터입력!$A:$H,2,FALSE),""),"")</f>
        <v/>
      </c>
      <c r="S78" s="618" t="str">
        <f>IFERROR(IF(데이터입력!$AE$2="추경",VLOOKUP($N78,데이터입력!$A:$H,5,FALSE),""),"")</f>
        <v/>
      </c>
      <c r="T78" s="618" t="str">
        <f>IFERROR(IF(데이터입력!$AE$2="추경",VLOOKUP($N78,데이터입력!$A:$H,6,FALSE),""),"")</f>
        <v/>
      </c>
      <c r="U78" s="619" t="str">
        <f>IFERROR(IF(데이터입력!$AE$2="추경",VLOOKUP($N78,데이터입력!$A:$L,8,FALSE)+VLOOKUP($N78,데이터입력!$A:$L,9,FALSE)+VLOOKUP($N78,데이터입력!$A:$L,10,FALSE),""),"")</f>
        <v/>
      </c>
      <c r="V78" s="620" t="s">
        <v>135</v>
      </c>
      <c r="W78" s="620" t="s">
        <v>135</v>
      </c>
      <c r="X78" s="620" t="s">
        <v>135</v>
      </c>
      <c r="Y78" s="601"/>
      <c r="Z78" s="182" t="str">
        <f>데이터입력!$AB$8</f>
        <v>00</v>
      </c>
      <c r="AA78" s="185" t="str">
        <f>데이터입력!$AC$9</f>
        <v>일반사업[일반]</v>
      </c>
      <c r="AB78" s="183" t="str">
        <f>IFERROR(IF(데이터입력!$AE$2="추경",VLOOKUP($A78,#REF!,4,FALSE),""),"")</f>
        <v/>
      </c>
      <c r="AC78" s="183" t="str">
        <f>IFERROR(IF(데이터입력!$AE$2="추경",VLOOKUP($A78,#REF!,5,FALSE),""),"")</f>
        <v/>
      </c>
      <c r="AD78" s="183" t="str">
        <f>IFERROR(IF(데이터입력!$AE$2="추경",VLOOKUP($A78,#REF!,6,FALSE),""),"")</f>
        <v/>
      </c>
      <c r="AE78" s="183" t="str">
        <f>IFERROR(IF(데이터입력!$AE$2="추경",VLOOKUP($A78,#REF!,7,FALSE),""),"")</f>
        <v/>
      </c>
      <c r="AF78" s="183"/>
      <c r="AG78" s="184" t="str">
        <f>IFERROR(IF(데이터입력!$AE$2="추경",VLOOKUP($A78,#REF!,9,FALSE),""),"")</f>
        <v/>
      </c>
      <c r="AH78" s="184" t="str">
        <f>IFERROR(IF(데이터입력!$AE$2="추경",VLOOKUP($A78,#REF!,10,FALSE),""),"")</f>
        <v/>
      </c>
      <c r="AI78" s="184" t="str">
        <f>IFERROR(IF(데이터입력!$AE$2="추경",VLOOKUP($A78,#REF!,11,FALSE),""),"")</f>
        <v/>
      </c>
      <c r="AJ78" s="184" t="str">
        <f>IFERROR(IF(데이터입력!$AE$2="추경",VLOOKUP($A78,#REF!,12,FALSE),""),"")</f>
        <v/>
      </c>
      <c r="AK78" s="184" t="str">
        <f>IFERROR(IF(데이터입력!$AE$2="추경",VLOOKUP($A78,#REF!,13,FALSE),""),"")</f>
        <v/>
      </c>
    </row>
    <row r="79" spans="1:37">
      <c r="A79" s="180">
        <v>77</v>
      </c>
      <c r="B79" s="608" t="str">
        <f>IFERROR(IF(F79="06",데이터입력!$AB$8,IF(F79="07",데이터입력!$AD$8,IF(F79="05",데이터입력!$AF$8,데이터입력!$AB$8))),데이터입력!$AB$8)</f>
        <v>00</v>
      </c>
      <c r="C79" s="609" t="str">
        <f>데이터입력!$AC$9</f>
        <v>일반사업[일반]</v>
      </c>
      <c r="D79" s="610" t="str">
        <f>IFERROR(IF(AND(데이터입력!$AE$2="추경",데이터입력!$AM$2=TRUE),VLOOKUP($A79,데이터입력!$A:$H,4,FALSE),""),"")</f>
        <v/>
      </c>
      <c r="E79" s="610" t="str">
        <f>IFERROR(IF(AND(데이터입력!$AE$2="추경",데이터입력!$AM$2=TRUE),VLOOKUP($A79,데이터입력!$A:$H,2,FALSE),""),"")</f>
        <v/>
      </c>
      <c r="F79" s="610" t="str">
        <f>IFERROR(IF(AND(데이터입력!$AE$2="추경",데이터입력!$AM$2=TRUE),VLOOKUP($A79,데이터입력!$A:$H,5,FALSE),""),"")</f>
        <v/>
      </c>
      <c r="G79" s="610" t="str">
        <f>IFERROR(IF(AND(데이터입력!$AE$2="추경",데이터입력!$AM$2=TRUE),VLOOKUP($A79,데이터입력!$A:$H,6,FALSE),""),"")</f>
        <v/>
      </c>
      <c r="H79" s="611" t="str">
        <f>IFERROR(IF(AND(데이터입력!$AE$2="추경",데이터입력!$AM$2=TRUE),VLOOKUP($A79,데이터입력!$A:$L,7,FALSE),""),"")</f>
        <v/>
      </c>
      <c r="I79" s="611" t="str">
        <f>IFERROR(IF(AND(데이터입력!$AE$2="추경",데이터입력!$AM$2=TRUE),VLOOKUP($A79,데이터입력!$A:$L,8,FALSE)+VLOOKUP($A79,데이터입력!$A:$L,9,FALSE)+VLOOKUP($A79,데이터입력!$A:$L,10,FALSE),""),"")</f>
        <v/>
      </c>
      <c r="J79" s="612" t="s">
        <v>135</v>
      </c>
      <c r="K79" s="612" t="s">
        <v>135</v>
      </c>
      <c r="L79" s="612" t="s">
        <v>135</v>
      </c>
      <c r="M79" s="604"/>
      <c r="N79" s="180">
        <v>277</v>
      </c>
      <c r="O79" s="616" t="str">
        <f>IFERROR(IF(S79="06",데이터입력!$AB$8,IF(S79="07",데이터입력!$AD$8,IF(S79="05",데이터입력!$AF$8,데이터입력!$AB$8))),데이터입력!$AB$8)</f>
        <v>00</v>
      </c>
      <c r="P79" s="617" t="str">
        <f>데이터입력!$AC$9</f>
        <v>일반사업[일반]</v>
      </c>
      <c r="Q79" s="618" t="str">
        <f>IFERROR(IF(데이터입력!$AE$2="추경",VLOOKUP($N79,데이터입력!$A:$H,4,FALSE),""),"")</f>
        <v/>
      </c>
      <c r="R79" s="618" t="str">
        <f>IFERROR(IF(데이터입력!$AE$2="추경",VLOOKUP($N79,데이터입력!$A:$H,2,FALSE),""),"")</f>
        <v/>
      </c>
      <c r="S79" s="618" t="str">
        <f>IFERROR(IF(데이터입력!$AE$2="추경",VLOOKUP($N79,데이터입력!$A:$H,5,FALSE),""),"")</f>
        <v/>
      </c>
      <c r="T79" s="618" t="str">
        <f>IFERROR(IF(데이터입력!$AE$2="추경",VLOOKUP($N79,데이터입력!$A:$H,6,FALSE),""),"")</f>
        <v/>
      </c>
      <c r="U79" s="619" t="str">
        <f>IFERROR(IF(데이터입력!$AE$2="추경",VLOOKUP($N79,데이터입력!$A:$L,8,FALSE)+VLOOKUP($N79,데이터입력!$A:$L,9,FALSE)+VLOOKUP($N79,데이터입력!$A:$L,10,FALSE),""),"")</f>
        <v/>
      </c>
      <c r="V79" s="620" t="s">
        <v>135</v>
      </c>
      <c r="W79" s="620" t="s">
        <v>135</v>
      </c>
      <c r="X79" s="620" t="s">
        <v>135</v>
      </c>
      <c r="Y79" s="601"/>
      <c r="Z79" s="182" t="str">
        <f>데이터입력!$AB$8</f>
        <v>00</v>
      </c>
      <c r="AA79" s="185" t="str">
        <f>데이터입력!$AC$9</f>
        <v>일반사업[일반]</v>
      </c>
      <c r="AB79" s="183" t="str">
        <f>IFERROR(IF(데이터입력!$AE$2="추경",VLOOKUP($A79,#REF!,4,FALSE),""),"")</f>
        <v/>
      </c>
      <c r="AC79" s="183" t="str">
        <f>IFERROR(IF(데이터입력!$AE$2="추경",VLOOKUP($A79,#REF!,5,FALSE),""),"")</f>
        <v/>
      </c>
      <c r="AD79" s="183" t="str">
        <f>IFERROR(IF(데이터입력!$AE$2="추경",VLOOKUP($A79,#REF!,6,FALSE),""),"")</f>
        <v/>
      </c>
      <c r="AE79" s="183" t="str">
        <f>IFERROR(IF(데이터입력!$AE$2="추경",VLOOKUP($A79,#REF!,7,FALSE),""),"")</f>
        <v/>
      </c>
      <c r="AF79" s="183"/>
      <c r="AG79" s="184" t="str">
        <f>IFERROR(IF(데이터입력!$AE$2="추경",VLOOKUP($A79,#REF!,9,FALSE),""),"")</f>
        <v/>
      </c>
      <c r="AH79" s="184" t="str">
        <f>IFERROR(IF(데이터입력!$AE$2="추경",VLOOKUP($A79,#REF!,10,FALSE),""),"")</f>
        <v/>
      </c>
      <c r="AI79" s="184" t="str">
        <f>IFERROR(IF(데이터입력!$AE$2="추경",VLOOKUP($A79,#REF!,11,FALSE),""),"")</f>
        <v/>
      </c>
      <c r="AJ79" s="184" t="str">
        <f>IFERROR(IF(데이터입력!$AE$2="추경",VLOOKUP($A79,#REF!,12,FALSE),""),"")</f>
        <v/>
      </c>
      <c r="AK79" s="184" t="str">
        <f>IFERROR(IF(데이터입력!$AE$2="추경",VLOOKUP($A79,#REF!,13,FALSE),""),"")</f>
        <v/>
      </c>
    </row>
    <row r="80" spans="1:37">
      <c r="A80" s="180">
        <v>78</v>
      </c>
      <c r="B80" s="608" t="str">
        <f>IFERROR(IF(F80="06",데이터입력!$AB$8,IF(F80="07",데이터입력!$AD$8,IF(F80="05",데이터입력!$AF$8,데이터입력!$AB$8))),데이터입력!$AB$8)</f>
        <v>00</v>
      </c>
      <c r="C80" s="609" t="str">
        <f>데이터입력!$AC$9</f>
        <v>일반사업[일반]</v>
      </c>
      <c r="D80" s="610" t="str">
        <f>IFERROR(IF(AND(데이터입력!$AE$2="추경",데이터입력!$AM$2=TRUE),VLOOKUP($A80,데이터입력!$A:$H,4,FALSE),""),"")</f>
        <v/>
      </c>
      <c r="E80" s="610" t="str">
        <f>IFERROR(IF(AND(데이터입력!$AE$2="추경",데이터입력!$AM$2=TRUE),VLOOKUP($A80,데이터입력!$A:$H,2,FALSE),""),"")</f>
        <v/>
      </c>
      <c r="F80" s="610" t="str">
        <f>IFERROR(IF(AND(데이터입력!$AE$2="추경",데이터입력!$AM$2=TRUE),VLOOKUP($A80,데이터입력!$A:$H,5,FALSE),""),"")</f>
        <v/>
      </c>
      <c r="G80" s="610" t="str">
        <f>IFERROR(IF(AND(데이터입력!$AE$2="추경",데이터입력!$AM$2=TRUE),VLOOKUP($A80,데이터입력!$A:$H,6,FALSE),""),"")</f>
        <v/>
      </c>
      <c r="H80" s="611" t="str">
        <f>IFERROR(IF(AND(데이터입력!$AE$2="추경",데이터입력!$AM$2=TRUE),VLOOKUP($A80,데이터입력!$A:$L,7,FALSE),""),"")</f>
        <v/>
      </c>
      <c r="I80" s="611" t="str">
        <f>IFERROR(IF(AND(데이터입력!$AE$2="추경",데이터입력!$AM$2=TRUE),VLOOKUP($A80,데이터입력!$A:$L,8,FALSE)+VLOOKUP($A80,데이터입력!$A:$L,9,FALSE)+VLOOKUP($A80,데이터입력!$A:$L,10,FALSE),""),"")</f>
        <v/>
      </c>
      <c r="J80" s="612" t="s">
        <v>135</v>
      </c>
      <c r="K80" s="612" t="s">
        <v>135</v>
      </c>
      <c r="L80" s="612" t="s">
        <v>135</v>
      </c>
      <c r="M80" s="604"/>
      <c r="N80" s="180">
        <v>278</v>
      </c>
      <c r="O80" s="616" t="str">
        <f>IFERROR(IF(S80="06",데이터입력!$AB$8,IF(S80="07",데이터입력!$AD$8,IF(S80="05",데이터입력!$AF$8,데이터입력!$AB$8))),데이터입력!$AB$8)</f>
        <v>00</v>
      </c>
      <c r="P80" s="617" t="str">
        <f>데이터입력!$AC$9</f>
        <v>일반사업[일반]</v>
      </c>
      <c r="Q80" s="618" t="str">
        <f>IFERROR(IF(데이터입력!$AE$2="추경",VLOOKUP($N80,데이터입력!$A:$H,4,FALSE),""),"")</f>
        <v/>
      </c>
      <c r="R80" s="618" t="str">
        <f>IFERROR(IF(데이터입력!$AE$2="추경",VLOOKUP($N80,데이터입력!$A:$H,2,FALSE),""),"")</f>
        <v/>
      </c>
      <c r="S80" s="618" t="str">
        <f>IFERROR(IF(데이터입력!$AE$2="추경",VLOOKUP($N80,데이터입력!$A:$H,5,FALSE),""),"")</f>
        <v/>
      </c>
      <c r="T80" s="618" t="str">
        <f>IFERROR(IF(데이터입력!$AE$2="추경",VLOOKUP($N80,데이터입력!$A:$H,6,FALSE),""),"")</f>
        <v/>
      </c>
      <c r="U80" s="619" t="str">
        <f>IFERROR(IF(데이터입력!$AE$2="추경",VLOOKUP($N80,데이터입력!$A:$L,8,FALSE)+VLOOKUP($N80,데이터입력!$A:$L,9,FALSE)+VLOOKUP($N80,데이터입력!$A:$L,10,FALSE),""),"")</f>
        <v/>
      </c>
      <c r="V80" s="620" t="s">
        <v>135</v>
      </c>
      <c r="W80" s="620" t="s">
        <v>135</v>
      </c>
      <c r="X80" s="620" t="s">
        <v>135</v>
      </c>
      <c r="Y80" s="601"/>
      <c r="Z80" s="182" t="str">
        <f>데이터입력!$AB$8</f>
        <v>00</v>
      </c>
      <c r="AA80" s="185" t="str">
        <f>데이터입력!$AC$9</f>
        <v>일반사업[일반]</v>
      </c>
      <c r="AB80" s="183" t="str">
        <f>IFERROR(IF(데이터입력!$AE$2="추경",VLOOKUP($A80,#REF!,4,FALSE),""),"")</f>
        <v/>
      </c>
      <c r="AC80" s="183" t="str">
        <f>IFERROR(IF(데이터입력!$AE$2="추경",VLOOKUP($A80,#REF!,5,FALSE),""),"")</f>
        <v/>
      </c>
      <c r="AD80" s="183" t="str">
        <f>IFERROR(IF(데이터입력!$AE$2="추경",VLOOKUP($A80,#REF!,6,FALSE),""),"")</f>
        <v/>
      </c>
      <c r="AE80" s="183" t="str">
        <f>IFERROR(IF(데이터입력!$AE$2="추경",VLOOKUP($A80,#REF!,7,FALSE),""),"")</f>
        <v/>
      </c>
      <c r="AF80" s="183"/>
      <c r="AG80" s="184" t="str">
        <f>IFERROR(IF(데이터입력!$AE$2="추경",VLOOKUP($A80,#REF!,9,FALSE),""),"")</f>
        <v/>
      </c>
      <c r="AH80" s="184" t="str">
        <f>IFERROR(IF(데이터입력!$AE$2="추경",VLOOKUP($A80,#REF!,10,FALSE),""),"")</f>
        <v/>
      </c>
      <c r="AI80" s="184" t="str">
        <f>IFERROR(IF(데이터입력!$AE$2="추경",VLOOKUP($A80,#REF!,11,FALSE),""),"")</f>
        <v/>
      </c>
      <c r="AJ80" s="184" t="str">
        <f>IFERROR(IF(데이터입력!$AE$2="추경",VLOOKUP($A80,#REF!,12,FALSE),""),"")</f>
        <v/>
      </c>
      <c r="AK80" s="184" t="str">
        <f>IFERROR(IF(데이터입력!$AE$2="추경",VLOOKUP($A80,#REF!,13,FALSE),""),"")</f>
        <v/>
      </c>
    </row>
    <row r="81" spans="1:37">
      <c r="A81" s="180">
        <v>79</v>
      </c>
      <c r="B81" s="608" t="str">
        <f>IFERROR(IF(F81="06",데이터입력!$AB$8,IF(F81="07",데이터입력!$AD$8,IF(F81="05",데이터입력!$AF$8,데이터입력!$AB$8))),데이터입력!$AB$8)</f>
        <v>00</v>
      </c>
      <c r="C81" s="609" t="str">
        <f>데이터입력!$AC$9</f>
        <v>일반사업[일반]</v>
      </c>
      <c r="D81" s="610" t="str">
        <f>IFERROR(IF(AND(데이터입력!$AE$2="추경",데이터입력!$AM$2=TRUE),VLOOKUP($A81,데이터입력!$A:$H,4,FALSE),""),"")</f>
        <v/>
      </c>
      <c r="E81" s="610" t="str">
        <f>IFERROR(IF(AND(데이터입력!$AE$2="추경",데이터입력!$AM$2=TRUE),VLOOKUP($A81,데이터입력!$A:$H,2,FALSE),""),"")</f>
        <v/>
      </c>
      <c r="F81" s="610" t="str">
        <f>IFERROR(IF(AND(데이터입력!$AE$2="추경",데이터입력!$AM$2=TRUE),VLOOKUP($A81,데이터입력!$A:$H,5,FALSE),""),"")</f>
        <v/>
      </c>
      <c r="G81" s="610" t="str">
        <f>IFERROR(IF(AND(데이터입력!$AE$2="추경",데이터입력!$AM$2=TRUE),VLOOKUP($A81,데이터입력!$A:$H,6,FALSE),""),"")</f>
        <v/>
      </c>
      <c r="H81" s="611" t="str">
        <f>IFERROR(IF(AND(데이터입력!$AE$2="추경",데이터입력!$AM$2=TRUE),VLOOKUP($A81,데이터입력!$A:$L,7,FALSE),""),"")</f>
        <v/>
      </c>
      <c r="I81" s="611" t="str">
        <f>IFERROR(IF(AND(데이터입력!$AE$2="추경",데이터입력!$AM$2=TRUE),VLOOKUP($A81,데이터입력!$A:$L,8,FALSE)+VLOOKUP($A81,데이터입력!$A:$L,9,FALSE)+VLOOKUP($A81,데이터입력!$A:$L,10,FALSE),""),"")</f>
        <v/>
      </c>
      <c r="J81" s="612" t="s">
        <v>135</v>
      </c>
      <c r="K81" s="612" t="s">
        <v>135</v>
      </c>
      <c r="L81" s="612" t="s">
        <v>135</v>
      </c>
      <c r="M81" s="604"/>
      <c r="N81" s="180">
        <v>279</v>
      </c>
      <c r="O81" s="616" t="str">
        <f>IFERROR(IF(S81="06",데이터입력!$AB$8,IF(S81="07",데이터입력!$AD$8,IF(S81="05",데이터입력!$AF$8,데이터입력!$AB$8))),데이터입력!$AB$8)</f>
        <v>00</v>
      </c>
      <c r="P81" s="617" t="str">
        <f>데이터입력!$AC$9</f>
        <v>일반사업[일반]</v>
      </c>
      <c r="Q81" s="618" t="str">
        <f>IFERROR(IF(데이터입력!$AE$2="추경",VLOOKUP($N81,데이터입력!$A:$H,4,FALSE),""),"")</f>
        <v/>
      </c>
      <c r="R81" s="618" t="str">
        <f>IFERROR(IF(데이터입력!$AE$2="추경",VLOOKUP($N81,데이터입력!$A:$H,2,FALSE),""),"")</f>
        <v/>
      </c>
      <c r="S81" s="618" t="str">
        <f>IFERROR(IF(데이터입력!$AE$2="추경",VLOOKUP($N81,데이터입력!$A:$H,5,FALSE),""),"")</f>
        <v/>
      </c>
      <c r="T81" s="618" t="str">
        <f>IFERROR(IF(데이터입력!$AE$2="추경",VLOOKUP($N81,데이터입력!$A:$H,6,FALSE),""),"")</f>
        <v/>
      </c>
      <c r="U81" s="619" t="str">
        <f>IFERROR(IF(데이터입력!$AE$2="추경",VLOOKUP($N81,데이터입력!$A:$L,8,FALSE)+VLOOKUP($N81,데이터입력!$A:$L,9,FALSE)+VLOOKUP($N81,데이터입력!$A:$L,10,FALSE),""),"")</f>
        <v/>
      </c>
      <c r="V81" s="620" t="s">
        <v>135</v>
      </c>
      <c r="W81" s="620" t="s">
        <v>135</v>
      </c>
      <c r="X81" s="620" t="s">
        <v>135</v>
      </c>
      <c r="Y81" s="601"/>
      <c r="Z81" s="182" t="str">
        <f>데이터입력!$AB$8</f>
        <v>00</v>
      </c>
      <c r="AA81" s="185" t="str">
        <f>데이터입력!$AC$9</f>
        <v>일반사업[일반]</v>
      </c>
      <c r="AB81" s="183" t="str">
        <f>IFERROR(IF(데이터입력!$AE$2="추경",VLOOKUP($A81,#REF!,4,FALSE),""),"")</f>
        <v/>
      </c>
      <c r="AC81" s="183" t="str">
        <f>IFERROR(IF(데이터입력!$AE$2="추경",VLOOKUP($A81,#REF!,5,FALSE),""),"")</f>
        <v/>
      </c>
      <c r="AD81" s="183" t="str">
        <f>IFERROR(IF(데이터입력!$AE$2="추경",VLOOKUP($A81,#REF!,6,FALSE),""),"")</f>
        <v/>
      </c>
      <c r="AE81" s="183" t="str">
        <f>IFERROR(IF(데이터입력!$AE$2="추경",VLOOKUP($A81,#REF!,7,FALSE),""),"")</f>
        <v/>
      </c>
      <c r="AF81" s="183"/>
      <c r="AG81" s="184" t="str">
        <f>IFERROR(IF(데이터입력!$AE$2="추경",VLOOKUP($A81,#REF!,9,FALSE),""),"")</f>
        <v/>
      </c>
      <c r="AH81" s="184" t="str">
        <f>IFERROR(IF(데이터입력!$AE$2="추경",VLOOKUP($A81,#REF!,10,FALSE),""),"")</f>
        <v/>
      </c>
      <c r="AI81" s="184" t="str">
        <f>IFERROR(IF(데이터입력!$AE$2="추경",VLOOKUP($A81,#REF!,11,FALSE),""),"")</f>
        <v/>
      </c>
      <c r="AJ81" s="184" t="str">
        <f>IFERROR(IF(데이터입력!$AE$2="추경",VLOOKUP($A81,#REF!,12,FALSE),""),"")</f>
        <v/>
      </c>
      <c r="AK81" s="184" t="str">
        <f>IFERROR(IF(데이터입력!$AE$2="추경",VLOOKUP($A81,#REF!,13,FALSE),""),"")</f>
        <v/>
      </c>
    </row>
    <row r="82" spans="1:37">
      <c r="A82" s="180">
        <v>80</v>
      </c>
      <c r="B82" s="608" t="str">
        <f>IFERROR(IF(F82="06",데이터입력!$AB$8,IF(F82="07",데이터입력!$AD$8,IF(F82="05",데이터입력!$AF$8,데이터입력!$AB$8))),데이터입력!$AB$8)</f>
        <v>00</v>
      </c>
      <c r="C82" s="609" t="str">
        <f>데이터입력!$AC$9</f>
        <v>일반사업[일반]</v>
      </c>
      <c r="D82" s="610" t="str">
        <f>IFERROR(IF(AND(데이터입력!$AE$2="추경",데이터입력!$AM$2=TRUE),VLOOKUP($A82,데이터입력!$A:$H,4,FALSE),""),"")</f>
        <v/>
      </c>
      <c r="E82" s="610" t="str">
        <f>IFERROR(IF(AND(데이터입력!$AE$2="추경",데이터입력!$AM$2=TRUE),VLOOKUP($A82,데이터입력!$A:$H,2,FALSE),""),"")</f>
        <v/>
      </c>
      <c r="F82" s="610" t="str">
        <f>IFERROR(IF(AND(데이터입력!$AE$2="추경",데이터입력!$AM$2=TRUE),VLOOKUP($A82,데이터입력!$A:$H,5,FALSE),""),"")</f>
        <v/>
      </c>
      <c r="G82" s="610" t="str">
        <f>IFERROR(IF(AND(데이터입력!$AE$2="추경",데이터입력!$AM$2=TRUE),VLOOKUP($A82,데이터입력!$A:$H,6,FALSE),""),"")</f>
        <v/>
      </c>
      <c r="H82" s="611" t="str">
        <f>IFERROR(IF(AND(데이터입력!$AE$2="추경",데이터입력!$AM$2=TRUE),VLOOKUP($A82,데이터입력!$A:$L,7,FALSE),""),"")</f>
        <v/>
      </c>
      <c r="I82" s="611" t="str">
        <f>IFERROR(IF(AND(데이터입력!$AE$2="추경",데이터입력!$AM$2=TRUE),VLOOKUP($A82,데이터입력!$A:$L,8,FALSE)+VLOOKUP($A82,데이터입력!$A:$L,9,FALSE)+VLOOKUP($A82,데이터입력!$A:$L,10,FALSE),""),"")</f>
        <v/>
      </c>
      <c r="J82" s="612" t="s">
        <v>135</v>
      </c>
      <c r="K82" s="612" t="s">
        <v>135</v>
      </c>
      <c r="L82" s="612" t="s">
        <v>135</v>
      </c>
      <c r="M82" s="604"/>
      <c r="N82" s="180">
        <v>280</v>
      </c>
      <c r="O82" s="616" t="str">
        <f>IFERROR(IF(S82="06",데이터입력!$AB$8,IF(S82="07",데이터입력!$AD$8,IF(S82="05",데이터입력!$AF$8,데이터입력!$AB$8))),데이터입력!$AB$8)</f>
        <v>00</v>
      </c>
      <c r="P82" s="617" t="str">
        <f>데이터입력!$AC$9</f>
        <v>일반사업[일반]</v>
      </c>
      <c r="Q82" s="618" t="str">
        <f>IFERROR(IF(데이터입력!$AE$2="추경",VLOOKUP($N82,데이터입력!$A:$H,4,FALSE),""),"")</f>
        <v/>
      </c>
      <c r="R82" s="618" t="str">
        <f>IFERROR(IF(데이터입력!$AE$2="추경",VLOOKUP($N82,데이터입력!$A:$H,2,FALSE),""),"")</f>
        <v/>
      </c>
      <c r="S82" s="618" t="str">
        <f>IFERROR(IF(데이터입력!$AE$2="추경",VLOOKUP($N82,데이터입력!$A:$H,5,FALSE),""),"")</f>
        <v/>
      </c>
      <c r="T82" s="618" t="str">
        <f>IFERROR(IF(데이터입력!$AE$2="추경",VLOOKUP($N82,데이터입력!$A:$H,6,FALSE),""),"")</f>
        <v/>
      </c>
      <c r="U82" s="619" t="str">
        <f>IFERROR(IF(데이터입력!$AE$2="추경",VLOOKUP($N82,데이터입력!$A:$L,8,FALSE)+VLOOKUP($N82,데이터입력!$A:$L,9,FALSE)+VLOOKUP($N82,데이터입력!$A:$L,10,FALSE),""),"")</f>
        <v/>
      </c>
      <c r="V82" s="620" t="s">
        <v>135</v>
      </c>
      <c r="W82" s="620" t="s">
        <v>135</v>
      </c>
      <c r="X82" s="620" t="s">
        <v>135</v>
      </c>
      <c r="Y82" s="601"/>
      <c r="Z82" s="182" t="str">
        <f>데이터입력!$AB$8</f>
        <v>00</v>
      </c>
      <c r="AA82" s="185" t="str">
        <f>데이터입력!$AC$9</f>
        <v>일반사업[일반]</v>
      </c>
      <c r="AB82" s="183" t="str">
        <f>IFERROR(IF(데이터입력!$AE$2="추경",VLOOKUP($A82,#REF!,4,FALSE),""),"")</f>
        <v/>
      </c>
      <c r="AC82" s="183" t="str">
        <f>IFERROR(IF(데이터입력!$AE$2="추경",VLOOKUP($A82,#REF!,5,FALSE),""),"")</f>
        <v/>
      </c>
      <c r="AD82" s="183" t="str">
        <f>IFERROR(IF(데이터입력!$AE$2="추경",VLOOKUP($A82,#REF!,6,FALSE),""),"")</f>
        <v/>
      </c>
      <c r="AE82" s="183" t="str">
        <f>IFERROR(IF(데이터입력!$AE$2="추경",VLOOKUP($A82,#REF!,7,FALSE),""),"")</f>
        <v/>
      </c>
      <c r="AF82" s="183"/>
      <c r="AG82" s="184" t="str">
        <f>IFERROR(IF(데이터입력!$AE$2="추경",VLOOKUP($A82,#REF!,9,FALSE),""),"")</f>
        <v/>
      </c>
      <c r="AH82" s="184" t="str">
        <f>IFERROR(IF(데이터입력!$AE$2="추경",VLOOKUP($A82,#REF!,10,FALSE),""),"")</f>
        <v/>
      </c>
      <c r="AI82" s="184" t="str">
        <f>IFERROR(IF(데이터입력!$AE$2="추경",VLOOKUP($A82,#REF!,11,FALSE),""),"")</f>
        <v/>
      </c>
      <c r="AJ82" s="184" t="str">
        <f>IFERROR(IF(데이터입력!$AE$2="추경",VLOOKUP($A82,#REF!,12,FALSE),""),"")</f>
        <v/>
      </c>
      <c r="AK82" s="184" t="str">
        <f>IFERROR(IF(데이터입력!$AE$2="추경",VLOOKUP($A82,#REF!,13,FALSE),""),"")</f>
        <v/>
      </c>
    </row>
    <row r="83" spans="1:37">
      <c r="A83" s="180">
        <v>81</v>
      </c>
      <c r="B83" s="608" t="str">
        <f>IFERROR(IF(F83="06",데이터입력!$AB$8,IF(F83="07",데이터입력!$AD$8,IF(F83="05",데이터입력!$AF$8,데이터입력!$AB$8))),데이터입력!$AB$8)</f>
        <v>00</v>
      </c>
      <c r="C83" s="609" t="str">
        <f>데이터입력!$AC$9</f>
        <v>일반사업[일반]</v>
      </c>
      <c r="D83" s="610" t="str">
        <f>IFERROR(IF(AND(데이터입력!$AE$2="추경",데이터입력!$AM$2=TRUE),VLOOKUP($A83,데이터입력!$A:$H,4,FALSE),""),"")</f>
        <v/>
      </c>
      <c r="E83" s="610" t="str">
        <f>IFERROR(IF(AND(데이터입력!$AE$2="추경",데이터입력!$AM$2=TRUE),VLOOKUP($A83,데이터입력!$A:$H,2,FALSE),""),"")</f>
        <v/>
      </c>
      <c r="F83" s="610" t="str">
        <f>IFERROR(IF(AND(데이터입력!$AE$2="추경",데이터입력!$AM$2=TRUE),VLOOKUP($A83,데이터입력!$A:$H,5,FALSE),""),"")</f>
        <v/>
      </c>
      <c r="G83" s="610" t="str">
        <f>IFERROR(IF(AND(데이터입력!$AE$2="추경",데이터입력!$AM$2=TRUE),VLOOKUP($A83,데이터입력!$A:$H,6,FALSE),""),"")</f>
        <v/>
      </c>
      <c r="H83" s="611" t="str">
        <f>IFERROR(IF(AND(데이터입력!$AE$2="추경",데이터입력!$AM$2=TRUE),VLOOKUP($A83,데이터입력!$A:$L,7,FALSE),""),"")</f>
        <v/>
      </c>
      <c r="I83" s="611" t="str">
        <f>IFERROR(IF(AND(데이터입력!$AE$2="추경",데이터입력!$AM$2=TRUE),VLOOKUP($A83,데이터입력!$A:$L,8,FALSE)+VLOOKUP($A83,데이터입력!$A:$L,9,FALSE)+VLOOKUP($A83,데이터입력!$A:$L,10,FALSE),""),"")</f>
        <v/>
      </c>
      <c r="J83" s="612" t="s">
        <v>135</v>
      </c>
      <c r="K83" s="612" t="s">
        <v>135</v>
      </c>
      <c r="L83" s="612" t="s">
        <v>135</v>
      </c>
      <c r="M83" s="604"/>
      <c r="N83" s="180">
        <v>281</v>
      </c>
      <c r="O83" s="616" t="str">
        <f>IFERROR(IF(S83="06",데이터입력!$AB$8,IF(S83="07",데이터입력!$AD$8,IF(S83="05",데이터입력!$AF$8,데이터입력!$AB$8))),데이터입력!$AB$8)</f>
        <v>00</v>
      </c>
      <c r="P83" s="617" t="str">
        <f>데이터입력!$AC$9</f>
        <v>일반사업[일반]</v>
      </c>
      <c r="Q83" s="618" t="str">
        <f>IFERROR(IF(데이터입력!$AE$2="추경",VLOOKUP($N83,데이터입력!$A:$H,4,FALSE),""),"")</f>
        <v/>
      </c>
      <c r="R83" s="618" t="str">
        <f>IFERROR(IF(데이터입력!$AE$2="추경",VLOOKUP($N83,데이터입력!$A:$H,2,FALSE),""),"")</f>
        <v/>
      </c>
      <c r="S83" s="618" t="str">
        <f>IFERROR(IF(데이터입력!$AE$2="추경",VLOOKUP($N83,데이터입력!$A:$H,5,FALSE),""),"")</f>
        <v/>
      </c>
      <c r="T83" s="618" t="str">
        <f>IFERROR(IF(데이터입력!$AE$2="추경",VLOOKUP($N83,데이터입력!$A:$H,6,FALSE),""),"")</f>
        <v/>
      </c>
      <c r="U83" s="619" t="str">
        <f>IFERROR(IF(데이터입력!$AE$2="추경",VLOOKUP($N83,데이터입력!$A:$L,8,FALSE)+VLOOKUP($N83,데이터입력!$A:$L,9,FALSE)+VLOOKUP($N83,데이터입력!$A:$L,10,FALSE),""),"")</f>
        <v/>
      </c>
      <c r="V83" s="620" t="s">
        <v>135</v>
      </c>
      <c r="W83" s="620" t="s">
        <v>135</v>
      </c>
      <c r="X83" s="620" t="s">
        <v>135</v>
      </c>
      <c r="Y83" s="601"/>
      <c r="Z83" s="182" t="str">
        <f>데이터입력!$AB$8</f>
        <v>00</v>
      </c>
      <c r="AA83" s="185" t="str">
        <f>데이터입력!$AC$9</f>
        <v>일반사업[일반]</v>
      </c>
      <c r="AB83" s="183" t="str">
        <f>IFERROR(IF(데이터입력!$AE$2="추경",VLOOKUP($A83,#REF!,4,FALSE),""),"")</f>
        <v/>
      </c>
      <c r="AC83" s="183" t="str">
        <f>IFERROR(IF(데이터입력!$AE$2="추경",VLOOKUP($A83,#REF!,5,FALSE),""),"")</f>
        <v/>
      </c>
      <c r="AD83" s="183" t="str">
        <f>IFERROR(IF(데이터입력!$AE$2="추경",VLOOKUP($A83,#REF!,6,FALSE),""),"")</f>
        <v/>
      </c>
      <c r="AE83" s="183" t="str">
        <f>IFERROR(IF(데이터입력!$AE$2="추경",VLOOKUP($A83,#REF!,7,FALSE),""),"")</f>
        <v/>
      </c>
      <c r="AF83" s="183"/>
      <c r="AG83" s="184" t="str">
        <f>IFERROR(IF(데이터입력!$AE$2="추경",VLOOKUP($A83,#REF!,9,FALSE),""),"")</f>
        <v/>
      </c>
      <c r="AH83" s="184" t="str">
        <f>IFERROR(IF(데이터입력!$AE$2="추경",VLOOKUP($A83,#REF!,10,FALSE),""),"")</f>
        <v/>
      </c>
      <c r="AI83" s="184" t="str">
        <f>IFERROR(IF(데이터입력!$AE$2="추경",VLOOKUP($A83,#REF!,11,FALSE),""),"")</f>
        <v/>
      </c>
      <c r="AJ83" s="184" t="str">
        <f>IFERROR(IF(데이터입력!$AE$2="추경",VLOOKUP($A83,#REF!,12,FALSE),""),"")</f>
        <v/>
      </c>
      <c r="AK83" s="184" t="str">
        <f>IFERROR(IF(데이터입력!$AE$2="추경",VLOOKUP($A83,#REF!,13,FALSE),""),"")</f>
        <v/>
      </c>
    </row>
    <row r="84" spans="1:37">
      <c r="A84" s="180">
        <v>82</v>
      </c>
      <c r="B84" s="608" t="str">
        <f>IFERROR(IF(F84="06",데이터입력!$AB$8,IF(F84="07",데이터입력!$AD$8,IF(F84="05",데이터입력!$AF$8,데이터입력!$AB$8))),데이터입력!$AB$8)</f>
        <v>00</v>
      </c>
      <c r="C84" s="609" t="str">
        <f>데이터입력!$AC$9</f>
        <v>일반사업[일반]</v>
      </c>
      <c r="D84" s="610" t="str">
        <f>IFERROR(IF(AND(데이터입력!$AE$2="추경",데이터입력!$AM$2=TRUE),VLOOKUP($A84,데이터입력!$A:$H,4,FALSE),""),"")</f>
        <v/>
      </c>
      <c r="E84" s="610" t="str">
        <f>IFERROR(IF(AND(데이터입력!$AE$2="추경",데이터입력!$AM$2=TRUE),VLOOKUP($A84,데이터입력!$A:$H,2,FALSE),""),"")</f>
        <v/>
      </c>
      <c r="F84" s="610" t="str">
        <f>IFERROR(IF(AND(데이터입력!$AE$2="추경",데이터입력!$AM$2=TRUE),VLOOKUP($A84,데이터입력!$A:$H,5,FALSE),""),"")</f>
        <v/>
      </c>
      <c r="G84" s="610" t="str">
        <f>IFERROR(IF(AND(데이터입력!$AE$2="추경",데이터입력!$AM$2=TRUE),VLOOKUP($A84,데이터입력!$A:$H,6,FALSE),""),"")</f>
        <v/>
      </c>
      <c r="H84" s="611" t="str">
        <f>IFERROR(IF(AND(데이터입력!$AE$2="추경",데이터입력!$AM$2=TRUE),VLOOKUP($A84,데이터입력!$A:$L,7,FALSE),""),"")</f>
        <v/>
      </c>
      <c r="I84" s="611" t="str">
        <f>IFERROR(IF(AND(데이터입력!$AE$2="추경",데이터입력!$AM$2=TRUE),VLOOKUP($A84,데이터입력!$A:$L,8,FALSE)+VLOOKUP($A84,데이터입력!$A:$L,9,FALSE)+VLOOKUP($A84,데이터입력!$A:$L,10,FALSE),""),"")</f>
        <v/>
      </c>
      <c r="J84" s="612" t="s">
        <v>135</v>
      </c>
      <c r="K84" s="612" t="s">
        <v>135</v>
      </c>
      <c r="L84" s="612" t="s">
        <v>135</v>
      </c>
      <c r="M84" s="604"/>
      <c r="N84" s="180">
        <v>282</v>
      </c>
      <c r="O84" s="616" t="str">
        <f>IFERROR(IF(S84="06",데이터입력!$AB$8,IF(S84="07",데이터입력!$AD$8,IF(S84="05",데이터입력!$AF$8,데이터입력!$AB$8))),데이터입력!$AB$8)</f>
        <v>00</v>
      </c>
      <c r="P84" s="617" t="str">
        <f>데이터입력!$AC$9</f>
        <v>일반사업[일반]</v>
      </c>
      <c r="Q84" s="618" t="str">
        <f>IFERROR(IF(데이터입력!$AE$2="추경",VLOOKUP($N84,데이터입력!$A:$H,4,FALSE),""),"")</f>
        <v/>
      </c>
      <c r="R84" s="618" t="str">
        <f>IFERROR(IF(데이터입력!$AE$2="추경",VLOOKUP($N84,데이터입력!$A:$H,2,FALSE),""),"")</f>
        <v/>
      </c>
      <c r="S84" s="618" t="str">
        <f>IFERROR(IF(데이터입력!$AE$2="추경",VLOOKUP($N84,데이터입력!$A:$H,5,FALSE),""),"")</f>
        <v/>
      </c>
      <c r="T84" s="618" t="str">
        <f>IFERROR(IF(데이터입력!$AE$2="추경",VLOOKUP($N84,데이터입력!$A:$H,6,FALSE),""),"")</f>
        <v/>
      </c>
      <c r="U84" s="619" t="str">
        <f>IFERROR(IF(데이터입력!$AE$2="추경",VLOOKUP($N84,데이터입력!$A:$L,8,FALSE)+VLOOKUP($N84,데이터입력!$A:$L,9,FALSE)+VLOOKUP($N84,데이터입력!$A:$L,10,FALSE),""),"")</f>
        <v/>
      </c>
      <c r="V84" s="620" t="s">
        <v>135</v>
      </c>
      <c r="W84" s="620" t="s">
        <v>135</v>
      </c>
      <c r="X84" s="620" t="s">
        <v>135</v>
      </c>
      <c r="Y84" s="601"/>
      <c r="Z84" s="182" t="str">
        <f>데이터입력!$AB$8</f>
        <v>00</v>
      </c>
      <c r="AA84" s="185" t="str">
        <f>데이터입력!$AC$9</f>
        <v>일반사업[일반]</v>
      </c>
      <c r="AB84" s="183" t="str">
        <f>IFERROR(IF(데이터입력!$AE$2="추경",VLOOKUP($A84,#REF!,4,FALSE),""),"")</f>
        <v/>
      </c>
      <c r="AC84" s="183" t="str">
        <f>IFERROR(IF(데이터입력!$AE$2="추경",VLOOKUP($A84,#REF!,5,FALSE),""),"")</f>
        <v/>
      </c>
      <c r="AD84" s="183" t="str">
        <f>IFERROR(IF(데이터입력!$AE$2="추경",VLOOKUP($A84,#REF!,6,FALSE),""),"")</f>
        <v/>
      </c>
      <c r="AE84" s="183" t="str">
        <f>IFERROR(IF(데이터입력!$AE$2="추경",VLOOKUP($A84,#REF!,7,FALSE),""),"")</f>
        <v/>
      </c>
      <c r="AF84" s="183"/>
      <c r="AG84" s="184" t="str">
        <f>IFERROR(IF(데이터입력!$AE$2="추경",VLOOKUP($A84,#REF!,9,FALSE),""),"")</f>
        <v/>
      </c>
      <c r="AH84" s="184" t="str">
        <f>IFERROR(IF(데이터입력!$AE$2="추경",VLOOKUP($A84,#REF!,10,FALSE),""),"")</f>
        <v/>
      </c>
      <c r="AI84" s="184" t="str">
        <f>IFERROR(IF(데이터입력!$AE$2="추경",VLOOKUP($A84,#REF!,11,FALSE),""),"")</f>
        <v/>
      </c>
      <c r="AJ84" s="184" t="str">
        <f>IFERROR(IF(데이터입력!$AE$2="추경",VLOOKUP($A84,#REF!,12,FALSE),""),"")</f>
        <v/>
      </c>
      <c r="AK84" s="184" t="str">
        <f>IFERROR(IF(데이터입력!$AE$2="추경",VLOOKUP($A84,#REF!,13,FALSE),""),"")</f>
        <v/>
      </c>
    </row>
    <row r="85" spans="1:37">
      <c r="A85" s="180">
        <v>83</v>
      </c>
      <c r="B85" s="608" t="str">
        <f>IFERROR(IF(F85="06",데이터입력!$AB$8,IF(F85="07",데이터입력!$AD$8,IF(F85="05",데이터입력!$AF$8,데이터입력!$AB$8))),데이터입력!$AB$8)</f>
        <v>00</v>
      </c>
      <c r="C85" s="609" t="str">
        <f>데이터입력!$AC$9</f>
        <v>일반사업[일반]</v>
      </c>
      <c r="D85" s="610" t="str">
        <f>IFERROR(IF(AND(데이터입력!$AE$2="추경",데이터입력!$AM$2=TRUE),VLOOKUP($A85,데이터입력!$A:$H,4,FALSE),""),"")</f>
        <v/>
      </c>
      <c r="E85" s="610" t="str">
        <f>IFERROR(IF(AND(데이터입력!$AE$2="추경",데이터입력!$AM$2=TRUE),VLOOKUP($A85,데이터입력!$A:$H,2,FALSE),""),"")</f>
        <v/>
      </c>
      <c r="F85" s="610" t="str">
        <f>IFERROR(IF(AND(데이터입력!$AE$2="추경",데이터입력!$AM$2=TRUE),VLOOKUP($A85,데이터입력!$A:$H,5,FALSE),""),"")</f>
        <v/>
      </c>
      <c r="G85" s="610" t="str">
        <f>IFERROR(IF(AND(데이터입력!$AE$2="추경",데이터입력!$AM$2=TRUE),VLOOKUP($A85,데이터입력!$A:$H,6,FALSE),""),"")</f>
        <v/>
      </c>
      <c r="H85" s="611" t="str">
        <f>IFERROR(IF(AND(데이터입력!$AE$2="추경",데이터입력!$AM$2=TRUE),VLOOKUP($A85,데이터입력!$A:$L,7,FALSE),""),"")</f>
        <v/>
      </c>
      <c r="I85" s="611" t="str">
        <f>IFERROR(IF(AND(데이터입력!$AE$2="추경",데이터입력!$AM$2=TRUE),VLOOKUP($A85,데이터입력!$A:$L,8,FALSE)+VLOOKUP($A85,데이터입력!$A:$L,9,FALSE)+VLOOKUP($A85,데이터입력!$A:$L,10,FALSE),""),"")</f>
        <v/>
      </c>
      <c r="J85" s="612" t="s">
        <v>135</v>
      </c>
      <c r="K85" s="612" t="s">
        <v>135</v>
      </c>
      <c r="L85" s="612" t="s">
        <v>135</v>
      </c>
      <c r="M85" s="604"/>
      <c r="N85" s="180">
        <v>283</v>
      </c>
      <c r="O85" s="616" t="str">
        <f>IFERROR(IF(S85="06",데이터입력!$AB$8,IF(S85="07",데이터입력!$AD$8,IF(S85="05",데이터입력!$AF$8,데이터입력!$AB$8))),데이터입력!$AB$8)</f>
        <v>00</v>
      </c>
      <c r="P85" s="617" t="str">
        <f>데이터입력!$AC$9</f>
        <v>일반사업[일반]</v>
      </c>
      <c r="Q85" s="618" t="str">
        <f>IFERROR(IF(데이터입력!$AE$2="추경",VLOOKUP($N85,데이터입력!$A:$H,4,FALSE),""),"")</f>
        <v/>
      </c>
      <c r="R85" s="618" t="str">
        <f>IFERROR(IF(데이터입력!$AE$2="추경",VLOOKUP($N85,데이터입력!$A:$H,2,FALSE),""),"")</f>
        <v/>
      </c>
      <c r="S85" s="618" t="str">
        <f>IFERROR(IF(데이터입력!$AE$2="추경",VLOOKUP($N85,데이터입력!$A:$H,5,FALSE),""),"")</f>
        <v/>
      </c>
      <c r="T85" s="618" t="str">
        <f>IFERROR(IF(데이터입력!$AE$2="추경",VLOOKUP($N85,데이터입력!$A:$H,6,FALSE),""),"")</f>
        <v/>
      </c>
      <c r="U85" s="619" t="str">
        <f>IFERROR(IF(데이터입력!$AE$2="추경",VLOOKUP($N85,데이터입력!$A:$L,8,FALSE)+VLOOKUP($N85,데이터입력!$A:$L,9,FALSE)+VLOOKUP($N85,데이터입력!$A:$L,10,FALSE),""),"")</f>
        <v/>
      </c>
      <c r="V85" s="620" t="s">
        <v>135</v>
      </c>
      <c r="W85" s="620" t="s">
        <v>135</v>
      </c>
      <c r="X85" s="620" t="s">
        <v>135</v>
      </c>
      <c r="Y85" s="601"/>
      <c r="Z85" s="182" t="str">
        <f>데이터입력!$AB$8</f>
        <v>00</v>
      </c>
      <c r="AA85" s="185" t="str">
        <f>데이터입력!$AC$9</f>
        <v>일반사업[일반]</v>
      </c>
      <c r="AB85" s="183" t="str">
        <f>IFERROR(IF(데이터입력!$AE$2="추경",VLOOKUP($A85,#REF!,4,FALSE),""),"")</f>
        <v/>
      </c>
      <c r="AC85" s="183" t="str">
        <f>IFERROR(IF(데이터입력!$AE$2="추경",VLOOKUP($A85,#REF!,5,FALSE),""),"")</f>
        <v/>
      </c>
      <c r="AD85" s="183" t="str">
        <f>IFERROR(IF(데이터입력!$AE$2="추경",VLOOKUP($A85,#REF!,6,FALSE),""),"")</f>
        <v/>
      </c>
      <c r="AE85" s="183" t="str">
        <f>IFERROR(IF(데이터입력!$AE$2="추경",VLOOKUP($A85,#REF!,7,FALSE),""),"")</f>
        <v/>
      </c>
      <c r="AF85" s="183"/>
      <c r="AG85" s="184" t="str">
        <f>IFERROR(IF(데이터입력!$AE$2="추경",VLOOKUP($A85,#REF!,9,FALSE),""),"")</f>
        <v/>
      </c>
      <c r="AH85" s="184" t="str">
        <f>IFERROR(IF(데이터입력!$AE$2="추경",VLOOKUP($A85,#REF!,10,FALSE),""),"")</f>
        <v/>
      </c>
      <c r="AI85" s="184" t="str">
        <f>IFERROR(IF(데이터입력!$AE$2="추경",VLOOKUP($A85,#REF!,11,FALSE),""),"")</f>
        <v/>
      </c>
      <c r="AJ85" s="184" t="str">
        <f>IFERROR(IF(데이터입력!$AE$2="추경",VLOOKUP($A85,#REF!,12,FALSE),""),"")</f>
        <v/>
      </c>
      <c r="AK85" s="184" t="str">
        <f>IFERROR(IF(데이터입력!$AE$2="추경",VLOOKUP($A85,#REF!,13,FALSE),""),"")</f>
        <v/>
      </c>
    </row>
    <row r="86" spans="1:37">
      <c r="A86" s="180">
        <v>84</v>
      </c>
      <c r="B86" s="608" t="str">
        <f>IFERROR(IF(F86="06",데이터입력!$AB$8,IF(F86="07",데이터입력!$AD$8,IF(F86="05",데이터입력!$AF$8,데이터입력!$AB$8))),데이터입력!$AB$8)</f>
        <v>00</v>
      </c>
      <c r="C86" s="609" t="str">
        <f>데이터입력!$AC$9</f>
        <v>일반사업[일반]</v>
      </c>
      <c r="D86" s="610" t="str">
        <f>IFERROR(IF(AND(데이터입력!$AE$2="추경",데이터입력!$AM$2=TRUE),VLOOKUP($A86,데이터입력!$A:$H,4,FALSE),""),"")</f>
        <v/>
      </c>
      <c r="E86" s="610" t="str">
        <f>IFERROR(IF(AND(데이터입력!$AE$2="추경",데이터입력!$AM$2=TRUE),VLOOKUP($A86,데이터입력!$A:$H,2,FALSE),""),"")</f>
        <v/>
      </c>
      <c r="F86" s="610" t="str">
        <f>IFERROR(IF(AND(데이터입력!$AE$2="추경",데이터입력!$AM$2=TRUE),VLOOKUP($A86,데이터입력!$A:$H,5,FALSE),""),"")</f>
        <v/>
      </c>
      <c r="G86" s="610" t="str">
        <f>IFERROR(IF(AND(데이터입력!$AE$2="추경",데이터입력!$AM$2=TRUE),VLOOKUP($A86,데이터입력!$A:$H,6,FALSE),""),"")</f>
        <v/>
      </c>
      <c r="H86" s="611" t="str">
        <f>IFERROR(IF(AND(데이터입력!$AE$2="추경",데이터입력!$AM$2=TRUE),VLOOKUP($A86,데이터입력!$A:$L,7,FALSE),""),"")</f>
        <v/>
      </c>
      <c r="I86" s="611" t="str">
        <f>IFERROR(IF(AND(데이터입력!$AE$2="추경",데이터입력!$AM$2=TRUE),VLOOKUP($A86,데이터입력!$A:$L,8,FALSE)+VLOOKUP($A86,데이터입력!$A:$L,9,FALSE)+VLOOKUP($A86,데이터입력!$A:$L,10,FALSE),""),"")</f>
        <v/>
      </c>
      <c r="J86" s="612" t="s">
        <v>135</v>
      </c>
      <c r="K86" s="612" t="s">
        <v>135</v>
      </c>
      <c r="L86" s="612" t="s">
        <v>135</v>
      </c>
      <c r="M86" s="604"/>
      <c r="N86" s="180">
        <v>284</v>
      </c>
      <c r="O86" s="616" t="str">
        <f>IFERROR(IF(S86="06",데이터입력!$AB$8,IF(S86="07",데이터입력!$AD$8,IF(S86="05",데이터입력!$AF$8,데이터입력!$AB$8))),데이터입력!$AB$8)</f>
        <v>00</v>
      </c>
      <c r="P86" s="617" t="str">
        <f>데이터입력!$AC$9</f>
        <v>일반사업[일반]</v>
      </c>
      <c r="Q86" s="618" t="str">
        <f>IFERROR(IF(데이터입력!$AE$2="추경",VLOOKUP($N86,데이터입력!$A:$H,4,FALSE),""),"")</f>
        <v/>
      </c>
      <c r="R86" s="618" t="str">
        <f>IFERROR(IF(데이터입력!$AE$2="추경",VLOOKUP($N86,데이터입력!$A:$H,2,FALSE),""),"")</f>
        <v/>
      </c>
      <c r="S86" s="618" t="str">
        <f>IFERROR(IF(데이터입력!$AE$2="추경",VLOOKUP($N86,데이터입력!$A:$H,5,FALSE),""),"")</f>
        <v/>
      </c>
      <c r="T86" s="618" t="str">
        <f>IFERROR(IF(데이터입력!$AE$2="추경",VLOOKUP($N86,데이터입력!$A:$H,6,FALSE),""),"")</f>
        <v/>
      </c>
      <c r="U86" s="619" t="str">
        <f>IFERROR(IF(데이터입력!$AE$2="추경",VLOOKUP($N86,데이터입력!$A:$L,8,FALSE)+VLOOKUP($N86,데이터입력!$A:$L,9,FALSE)+VLOOKUP($N86,데이터입력!$A:$L,10,FALSE),""),"")</f>
        <v/>
      </c>
      <c r="V86" s="620" t="s">
        <v>135</v>
      </c>
      <c r="W86" s="620" t="s">
        <v>135</v>
      </c>
      <c r="X86" s="620" t="s">
        <v>135</v>
      </c>
      <c r="Y86" s="601"/>
      <c r="Z86" s="182" t="str">
        <f>데이터입력!$AB$8</f>
        <v>00</v>
      </c>
      <c r="AA86" s="185" t="str">
        <f>데이터입력!$AC$9</f>
        <v>일반사업[일반]</v>
      </c>
      <c r="AB86" s="183" t="str">
        <f>IFERROR(IF(데이터입력!$AE$2="추경",VLOOKUP($A86,#REF!,4,FALSE),""),"")</f>
        <v/>
      </c>
      <c r="AC86" s="183" t="str">
        <f>IFERROR(IF(데이터입력!$AE$2="추경",VLOOKUP($A86,#REF!,5,FALSE),""),"")</f>
        <v/>
      </c>
      <c r="AD86" s="183" t="str">
        <f>IFERROR(IF(데이터입력!$AE$2="추경",VLOOKUP($A86,#REF!,6,FALSE),""),"")</f>
        <v/>
      </c>
      <c r="AE86" s="183" t="str">
        <f>IFERROR(IF(데이터입력!$AE$2="추경",VLOOKUP($A86,#REF!,7,FALSE),""),"")</f>
        <v/>
      </c>
      <c r="AF86" s="183"/>
      <c r="AG86" s="184" t="str">
        <f>IFERROR(IF(데이터입력!$AE$2="추경",VLOOKUP($A86,#REF!,9,FALSE),""),"")</f>
        <v/>
      </c>
      <c r="AH86" s="184" t="str">
        <f>IFERROR(IF(데이터입력!$AE$2="추경",VLOOKUP($A86,#REF!,10,FALSE),""),"")</f>
        <v/>
      </c>
      <c r="AI86" s="184" t="str">
        <f>IFERROR(IF(데이터입력!$AE$2="추경",VLOOKUP($A86,#REF!,11,FALSE),""),"")</f>
        <v/>
      </c>
      <c r="AJ86" s="184" t="str">
        <f>IFERROR(IF(데이터입력!$AE$2="추경",VLOOKUP($A86,#REF!,12,FALSE),""),"")</f>
        <v/>
      </c>
      <c r="AK86" s="184" t="str">
        <f>IFERROR(IF(데이터입력!$AE$2="추경",VLOOKUP($A86,#REF!,13,FALSE),""),"")</f>
        <v/>
      </c>
    </row>
    <row r="87" spans="1:37">
      <c r="A87" s="180">
        <v>85</v>
      </c>
      <c r="B87" s="608" t="str">
        <f>IFERROR(IF(F87="06",데이터입력!$AB$8,IF(F87="07",데이터입력!$AD$8,IF(F87="05",데이터입력!$AF$8,데이터입력!$AB$8))),데이터입력!$AB$8)</f>
        <v>00</v>
      </c>
      <c r="C87" s="609" t="str">
        <f>데이터입력!$AC$9</f>
        <v>일반사업[일반]</v>
      </c>
      <c r="D87" s="610" t="str">
        <f>IFERROR(IF(AND(데이터입력!$AE$2="추경",데이터입력!$AM$2=TRUE),VLOOKUP($A87,데이터입력!$A:$H,4,FALSE),""),"")</f>
        <v/>
      </c>
      <c r="E87" s="610" t="str">
        <f>IFERROR(IF(AND(데이터입력!$AE$2="추경",데이터입력!$AM$2=TRUE),VLOOKUP($A87,데이터입력!$A:$H,2,FALSE),""),"")</f>
        <v/>
      </c>
      <c r="F87" s="610" t="str">
        <f>IFERROR(IF(AND(데이터입력!$AE$2="추경",데이터입력!$AM$2=TRUE),VLOOKUP($A87,데이터입력!$A:$H,5,FALSE),""),"")</f>
        <v/>
      </c>
      <c r="G87" s="610" t="str">
        <f>IFERROR(IF(AND(데이터입력!$AE$2="추경",데이터입력!$AM$2=TRUE),VLOOKUP($A87,데이터입력!$A:$H,6,FALSE),""),"")</f>
        <v/>
      </c>
      <c r="H87" s="611" t="str">
        <f>IFERROR(IF(AND(데이터입력!$AE$2="추경",데이터입력!$AM$2=TRUE),VLOOKUP($A87,데이터입력!$A:$L,7,FALSE),""),"")</f>
        <v/>
      </c>
      <c r="I87" s="611" t="str">
        <f>IFERROR(IF(AND(데이터입력!$AE$2="추경",데이터입력!$AM$2=TRUE),VLOOKUP($A87,데이터입력!$A:$L,8,FALSE)+VLOOKUP($A87,데이터입력!$A:$L,9,FALSE)+VLOOKUP($A87,데이터입력!$A:$L,10,FALSE),""),"")</f>
        <v/>
      </c>
      <c r="J87" s="612" t="s">
        <v>135</v>
      </c>
      <c r="K87" s="612" t="s">
        <v>135</v>
      </c>
      <c r="L87" s="612" t="s">
        <v>135</v>
      </c>
      <c r="M87" s="604"/>
      <c r="N87" s="180">
        <v>285</v>
      </c>
      <c r="O87" s="616" t="str">
        <f>IFERROR(IF(S87="06",데이터입력!$AB$8,IF(S87="07",데이터입력!$AD$8,IF(S87="05",데이터입력!$AF$8,데이터입력!$AB$8))),데이터입력!$AB$8)</f>
        <v>00</v>
      </c>
      <c r="P87" s="617" t="str">
        <f>데이터입력!$AC$9</f>
        <v>일반사업[일반]</v>
      </c>
      <c r="Q87" s="618" t="str">
        <f>IFERROR(IF(데이터입력!$AE$2="추경",VLOOKUP($N87,데이터입력!$A:$H,4,FALSE),""),"")</f>
        <v/>
      </c>
      <c r="R87" s="618" t="str">
        <f>IFERROR(IF(데이터입력!$AE$2="추경",VLOOKUP($N87,데이터입력!$A:$H,2,FALSE),""),"")</f>
        <v/>
      </c>
      <c r="S87" s="618" t="str">
        <f>IFERROR(IF(데이터입력!$AE$2="추경",VLOOKUP($N87,데이터입력!$A:$H,5,FALSE),""),"")</f>
        <v/>
      </c>
      <c r="T87" s="618" t="str">
        <f>IFERROR(IF(데이터입력!$AE$2="추경",VLOOKUP($N87,데이터입력!$A:$H,6,FALSE),""),"")</f>
        <v/>
      </c>
      <c r="U87" s="619" t="str">
        <f>IFERROR(IF(데이터입력!$AE$2="추경",VLOOKUP($N87,데이터입력!$A:$L,8,FALSE)+VLOOKUP($N87,데이터입력!$A:$L,9,FALSE)+VLOOKUP($N87,데이터입력!$A:$L,10,FALSE),""),"")</f>
        <v/>
      </c>
      <c r="V87" s="620" t="s">
        <v>135</v>
      </c>
      <c r="W87" s="620" t="s">
        <v>135</v>
      </c>
      <c r="X87" s="620" t="s">
        <v>135</v>
      </c>
      <c r="Y87" s="601"/>
      <c r="Z87" s="182" t="str">
        <f>데이터입력!$AB$8</f>
        <v>00</v>
      </c>
      <c r="AA87" s="185" t="str">
        <f>데이터입력!$AC$9</f>
        <v>일반사업[일반]</v>
      </c>
      <c r="AB87" s="183" t="str">
        <f>IFERROR(IF(데이터입력!$AE$2="추경",VLOOKUP($A87,#REF!,4,FALSE),""),"")</f>
        <v/>
      </c>
      <c r="AC87" s="183" t="str">
        <f>IFERROR(IF(데이터입력!$AE$2="추경",VLOOKUP($A87,#REF!,5,FALSE),""),"")</f>
        <v/>
      </c>
      <c r="AD87" s="183" t="str">
        <f>IFERROR(IF(데이터입력!$AE$2="추경",VLOOKUP($A87,#REF!,6,FALSE),""),"")</f>
        <v/>
      </c>
      <c r="AE87" s="183" t="str">
        <f>IFERROR(IF(데이터입력!$AE$2="추경",VLOOKUP($A87,#REF!,7,FALSE),""),"")</f>
        <v/>
      </c>
      <c r="AF87" s="183"/>
      <c r="AG87" s="184" t="str">
        <f>IFERROR(IF(데이터입력!$AE$2="추경",VLOOKUP($A87,#REF!,9,FALSE),""),"")</f>
        <v/>
      </c>
      <c r="AH87" s="184" t="str">
        <f>IFERROR(IF(데이터입력!$AE$2="추경",VLOOKUP($A87,#REF!,10,FALSE),""),"")</f>
        <v/>
      </c>
      <c r="AI87" s="184" t="str">
        <f>IFERROR(IF(데이터입력!$AE$2="추경",VLOOKUP($A87,#REF!,11,FALSE),""),"")</f>
        <v/>
      </c>
      <c r="AJ87" s="184" t="str">
        <f>IFERROR(IF(데이터입력!$AE$2="추경",VLOOKUP($A87,#REF!,12,FALSE),""),"")</f>
        <v/>
      </c>
      <c r="AK87" s="184" t="str">
        <f>IFERROR(IF(데이터입력!$AE$2="추경",VLOOKUP($A87,#REF!,13,FALSE),""),"")</f>
        <v/>
      </c>
    </row>
    <row r="88" spans="1:37">
      <c r="A88" s="180">
        <v>86</v>
      </c>
      <c r="B88" s="608" t="str">
        <f>IFERROR(IF(F88="06",데이터입력!$AB$8,IF(F88="07",데이터입력!$AD$8,IF(F88="05",데이터입력!$AF$8,데이터입력!$AB$8))),데이터입력!$AB$8)</f>
        <v>00</v>
      </c>
      <c r="C88" s="609" t="str">
        <f>데이터입력!$AC$9</f>
        <v>일반사업[일반]</v>
      </c>
      <c r="D88" s="610" t="str">
        <f>IFERROR(IF(AND(데이터입력!$AE$2="추경",데이터입력!$AM$2=TRUE),VLOOKUP($A88,데이터입력!$A:$H,4,FALSE),""),"")</f>
        <v/>
      </c>
      <c r="E88" s="610" t="str">
        <f>IFERROR(IF(AND(데이터입력!$AE$2="추경",데이터입력!$AM$2=TRUE),VLOOKUP($A88,데이터입력!$A:$H,2,FALSE),""),"")</f>
        <v/>
      </c>
      <c r="F88" s="610" t="str">
        <f>IFERROR(IF(AND(데이터입력!$AE$2="추경",데이터입력!$AM$2=TRUE),VLOOKUP($A88,데이터입력!$A:$H,5,FALSE),""),"")</f>
        <v/>
      </c>
      <c r="G88" s="610" t="str">
        <f>IFERROR(IF(AND(데이터입력!$AE$2="추경",데이터입력!$AM$2=TRUE),VLOOKUP($A88,데이터입력!$A:$H,6,FALSE),""),"")</f>
        <v/>
      </c>
      <c r="H88" s="611" t="str">
        <f>IFERROR(IF(AND(데이터입력!$AE$2="추경",데이터입력!$AM$2=TRUE),VLOOKUP($A88,데이터입력!$A:$L,7,FALSE),""),"")</f>
        <v/>
      </c>
      <c r="I88" s="611" t="str">
        <f>IFERROR(IF(AND(데이터입력!$AE$2="추경",데이터입력!$AM$2=TRUE),VLOOKUP($A88,데이터입력!$A:$L,8,FALSE)+VLOOKUP($A88,데이터입력!$A:$L,9,FALSE)+VLOOKUP($A88,데이터입력!$A:$L,10,FALSE),""),"")</f>
        <v/>
      </c>
      <c r="J88" s="612" t="s">
        <v>135</v>
      </c>
      <c r="K88" s="612" t="s">
        <v>135</v>
      </c>
      <c r="L88" s="612" t="s">
        <v>135</v>
      </c>
      <c r="M88" s="604"/>
      <c r="N88" s="180">
        <v>286</v>
      </c>
      <c r="O88" s="616" t="str">
        <f>IFERROR(IF(S88="06",데이터입력!$AB$8,IF(S88="07",데이터입력!$AD$8,IF(S88="05",데이터입력!$AF$8,데이터입력!$AB$8))),데이터입력!$AB$8)</f>
        <v>00</v>
      </c>
      <c r="P88" s="617" t="str">
        <f>데이터입력!$AC$9</f>
        <v>일반사업[일반]</v>
      </c>
      <c r="Q88" s="618" t="str">
        <f>IFERROR(IF(데이터입력!$AE$2="추경",VLOOKUP($N88,데이터입력!$A:$H,4,FALSE),""),"")</f>
        <v/>
      </c>
      <c r="R88" s="618" t="str">
        <f>IFERROR(IF(데이터입력!$AE$2="추경",VLOOKUP($N88,데이터입력!$A:$H,2,FALSE),""),"")</f>
        <v/>
      </c>
      <c r="S88" s="618" t="str">
        <f>IFERROR(IF(데이터입력!$AE$2="추경",VLOOKUP($N88,데이터입력!$A:$H,5,FALSE),""),"")</f>
        <v/>
      </c>
      <c r="T88" s="618" t="str">
        <f>IFERROR(IF(데이터입력!$AE$2="추경",VLOOKUP($N88,데이터입력!$A:$H,6,FALSE),""),"")</f>
        <v/>
      </c>
      <c r="U88" s="619" t="str">
        <f>IFERROR(IF(데이터입력!$AE$2="추경",VLOOKUP($N88,데이터입력!$A:$L,8,FALSE)+VLOOKUP($N88,데이터입력!$A:$L,9,FALSE)+VLOOKUP($N88,데이터입력!$A:$L,10,FALSE),""),"")</f>
        <v/>
      </c>
      <c r="V88" s="620" t="s">
        <v>135</v>
      </c>
      <c r="W88" s="620" t="s">
        <v>135</v>
      </c>
      <c r="X88" s="620" t="s">
        <v>135</v>
      </c>
      <c r="Y88" s="601"/>
      <c r="Z88" s="182" t="str">
        <f>데이터입력!$AB$8</f>
        <v>00</v>
      </c>
      <c r="AA88" s="185" t="str">
        <f>데이터입력!$AC$9</f>
        <v>일반사업[일반]</v>
      </c>
      <c r="AB88" s="183" t="str">
        <f>IFERROR(IF(데이터입력!$AE$2="추경",VLOOKUP($A88,#REF!,4,FALSE),""),"")</f>
        <v/>
      </c>
      <c r="AC88" s="183" t="str">
        <f>IFERROR(IF(데이터입력!$AE$2="추경",VLOOKUP($A88,#REF!,5,FALSE),""),"")</f>
        <v/>
      </c>
      <c r="AD88" s="183" t="str">
        <f>IFERROR(IF(데이터입력!$AE$2="추경",VLOOKUP($A88,#REF!,6,FALSE),""),"")</f>
        <v/>
      </c>
      <c r="AE88" s="183" t="str">
        <f>IFERROR(IF(데이터입력!$AE$2="추경",VLOOKUP($A88,#REF!,7,FALSE),""),"")</f>
        <v/>
      </c>
      <c r="AF88" s="183"/>
      <c r="AG88" s="184" t="str">
        <f>IFERROR(IF(데이터입력!$AE$2="추경",VLOOKUP($A88,#REF!,9,FALSE),""),"")</f>
        <v/>
      </c>
      <c r="AH88" s="184" t="str">
        <f>IFERROR(IF(데이터입력!$AE$2="추경",VLOOKUP($A88,#REF!,10,FALSE),""),"")</f>
        <v/>
      </c>
      <c r="AI88" s="184" t="str">
        <f>IFERROR(IF(데이터입력!$AE$2="추경",VLOOKUP($A88,#REF!,11,FALSE),""),"")</f>
        <v/>
      </c>
      <c r="AJ88" s="184" t="str">
        <f>IFERROR(IF(데이터입력!$AE$2="추경",VLOOKUP($A88,#REF!,12,FALSE),""),"")</f>
        <v/>
      </c>
      <c r="AK88" s="184" t="str">
        <f>IFERROR(IF(데이터입력!$AE$2="추경",VLOOKUP($A88,#REF!,13,FALSE),""),"")</f>
        <v/>
      </c>
    </row>
    <row r="89" spans="1:37">
      <c r="A89" s="180">
        <v>87</v>
      </c>
      <c r="B89" s="608" t="str">
        <f>IFERROR(IF(F89="06",데이터입력!$AB$8,IF(F89="07",데이터입력!$AD$8,IF(F89="05",데이터입력!$AF$8,데이터입력!$AB$8))),데이터입력!$AB$8)</f>
        <v>00</v>
      </c>
      <c r="C89" s="609" t="str">
        <f>데이터입력!$AC$9</f>
        <v>일반사업[일반]</v>
      </c>
      <c r="D89" s="610" t="str">
        <f>IFERROR(IF(AND(데이터입력!$AE$2="추경",데이터입력!$AM$2=TRUE),VLOOKUP($A89,데이터입력!$A:$H,4,FALSE),""),"")</f>
        <v/>
      </c>
      <c r="E89" s="610" t="str">
        <f>IFERROR(IF(AND(데이터입력!$AE$2="추경",데이터입력!$AM$2=TRUE),VLOOKUP($A89,데이터입력!$A:$H,2,FALSE),""),"")</f>
        <v/>
      </c>
      <c r="F89" s="610" t="str">
        <f>IFERROR(IF(AND(데이터입력!$AE$2="추경",데이터입력!$AM$2=TRUE),VLOOKUP($A89,데이터입력!$A:$H,5,FALSE),""),"")</f>
        <v/>
      </c>
      <c r="G89" s="610" t="str">
        <f>IFERROR(IF(AND(데이터입력!$AE$2="추경",데이터입력!$AM$2=TRUE),VLOOKUP($A89,데이터입력!$A:$H,6,FALSE),""),"")</f>
        <v/>
      </c>
      <c r="H89" s="611" t="str">
        <f>IFERROR(IF(AND(데이터입력!$AE$2="추경",데이터입력!$AM$2=TRUE),VLOOKUP($A89,데이터입력!$A:$L,7,FALSE),""),"")</f>
        <v/>
      </c>
      <c r="I89" s="611" t="str">
        <f>IFERROR(IF(AND(데이터입력!$AE$2="추경",데이터입력!$AM$2=TRUE),VLOOKUP($A89,데이터입력!$A:$L,8,FALSE)+VLOOKUP($A89,데이터입력!$A:$L,9,FALSE)+VLOOKUP($A89,데이터입력!$A:$L,10,FALSE),""),"")</f>
        <v/>
      </c>
      <c r="J89" s="612" t="s">
        <v>135</v>
      </c>
      <c r="K89" s="612" t="s">
        <v>135</v>
      </c>
      <c r="L89" s="612" t="s">
        <v>135</v>
      </c>
      <c r="M89" s="604"/>
      <c r="N89" s="180">
        <v>287</v>
      </c>
      <c r="O89" s="616" t="str">
        <f>IFERROR(IF(S89="06",데이터입력!$AB$8,IF(S89="07",데이터입력!$AD$8,IF(S89="05",데이터입력!$AF$8,데이터입력!$AB$8))),데이터입력!$AB$8)</f>
        <v>00</v>
      </c>
      <c r="P89" s="617" t="str">
        <f>데이터입력!$AC$9</f>
        <v>일반사업[일반]</v>
      </c>
      <c r="Q89" s="618" t="str">
        <f>IFERROR(IF(데이터입력!$AE$2="추경",VLOOKUP($N89,데이터입력!$A:$H,4,FALSE),""),"")</f>
        <v/>
      </c>
      <c r="R89" s="618" t="str">
        <f>IFERROR(IF(데이터입력!$AE$2="추경",VLOOKUP($N89,데이터입력!$A:$H,2,FALSE),""),"")</f>
        <v/>
      </c>
      <c r="S89" s="618" t="str">
        <f>IFERROR(IF(데이터입력!$AE$2="추경",VLOOKUP($N89,데이터입력!$A:$H,5,FALSE),""),"")</f>
        <v/>
      </c>
      <c r="T89" s="618" t="str">
        <f>IFERROR(IF(데이터입력!$AE$2="추경",VLOOKUP($N89,데이터입력!$A:$H,6,FALSE),""),"")</f>
        <v/>
      </c>
      <c r="U89" s="619" t="str">
        <f>IFERROR(IF(데이터입력!$AE$2="추경",VLOOKUP($N89,데이터입력!$A:$L,8,FALSE)+VLOOKUP($N89,데이터입력!$A:$L,9,FALSE)+VLOOKUP($N89,데이터입력!$A:$L,10,FALSE),""),"")</f>
        <v/>
      </c>
      <c r="V89" s="620" t="s">
        <v>135</v>
      </c>
      <c r="W89" s="620" t="s">
        <v>135</v>
      </c>
      <c r="X89" s="620" t="s">
        <v>135</v>
      </c>
      <c r="Y89" s="601"/>
      <c r="Z89" s="182" t="str">
        <f>데이터입력!$AB$8</f>
        <v>00</v>
      </c>
      <c r="AA89" s="185" t="str">
        <f>데이터입력!$AC$9</f>
        <v>일반사업[일반]</v>
      </c>
      <c r="AB89" s="183" t="str">
        <f>IFERROR(IF(데이터입력!$AE$2="추경",VLOOKUP($A89,#REF!,4,FALSE),""),"")</f>
        <v/>
      </c>
      <c r="AC89" s="183" t="str">
        <f>IFERROR(IF(데이터입력!$AE$2="추경",VLOOKUP($A89,#REF!,5,FALSE),""),"")</f>
        <v/>
      </c>
      <c r="AD89" s="183" t="str">
        <f>IFERROR(IF(데이터입력!$AE$2="추경",VLOOKUP($A89,#REF!,6,FALSE),""),"")</f>
        <v/>
      </c>
      <c r="AE89" s="183" t="str">
        <f>IFERROR(IF(데이터입력!$AE$2="추경",VLOOKUP($A89,#REF!,7,FALSE),""),"")</f>
        <v/>
      </c>
      <c r="AF89" s="183"/>
      <c r="AG89" s="184" t="str">
        <f>IFERROR(IF(데이터입력!$AE$2="추경",VLOOKUP($A89,#REF!,9,FALSE),""),"")</f>
        <v/>
      </c>
      <c r="AH89" s="184" t="str">
        <f>IFERROR(IF(데이터입력!$AE$2="추경",VLOOKUP($A89,#REF!,10,FALSE),""),"")</f>
        <v/>
      </c>
      <c r="AI89" s="184" t="str">
        <f>IFERROR(IF(데이터입력!$AE$2="추경",VLOOKUP($A89,#REF!,11,FALSE),""),"")</f>
        <v/>
      </c>
      <c r="AJ89" s="184" t="str">
        <f>IFERROR(IF(데이터입력!$AE$2="추경",VLOOKUP($A89,#REF!,12,FALSE),""),"")</f>
        <v/>
      </c>
      <c r="AK89" s="184" t="str">
        <f>IFERROR(IF(데이터입력!$AE$2="추경",VLOOKUP($A89,#REF!,13,FALSE),""),"")</f>
        <v/>
      </c>
    </row>
    <row r="90" spans="1:37">
      <c r="A90" s="180">
        <v>88</v>
      </c>
      <c r="B90" s="608" t="str">
        <f>IFERROR(IF(F90="06",데이터입력!$AB$8,IF(F90="07",데이터입력!$AD$8,IF(F90="05",데이터입력!$AF$8,데이터입력!$AB$8))),데이터입력!$AB$8)</f>
        <v>00</v>
      </c>
      <c r="C90" s="609" t="str">
        <f>데이터입력!$AC$9</f>
        <v>일반사업[일반]</v>
      </c>
      <c r="D90" s="610" t="str">
        <f>IFERROR(IF(AND(데이터입력!$AE$2="추경",데이터입력!$AM$2=TRUE),VLOOKUP($A90,데이터입력!$A:$H,4,FALSE),""),"")</f>
        <v/>
      </c>
      <c r="E90" s="610" t="str">
        <f>IFERROR(IF(AND(데이터입력!$AE$2="추경",데이터입력!$AM$2=TRUE),VLOOKUP($A90,데이터입력!$A:$H,2,FALSE),""),"")</f>
        <v/>
      </c>
      <c r="F90" s="610" t="str">
        <f>IFERROR(IF(AND(데이터입력!$AE$2="추경",데이터입력!$AM$2=TRUE),VLOOKUP($A90,데이터입력!$A:$H,5,FALSE),""),"")</f>
        <v/>
      </c>
      <c r="G90" s="610" t="str">
        <f>IFERROR(IF(AND(데이터입력!$AE$2="추경",데이터입력!$AM$2=TRUE),VLOOKUP($A90,데이터입력!$A:$H,6,FALSE),""),"")</f>
        <v/>
      </c>
      <c r="H90" s="611" t="str">
        <f>IFERROR(IF(AND(데이터입력!$AE$2="추경",데이터입력!$AM$2=TRUE),VLOOKUP($A90,데이터입력!$A:$L,7,FALSE),""),"")</f>
        <v/>
      </c>
      <c r="I90" s="611" t="str">
        <f>IFERROR(IF(AND(데이터입력!$AE$2="추경",데이터입력!$AM$2=TRUE),VLOOKUP($A90,데이터입력!$A:$L,8,FALSE)+VLOOKUP($A90,데이터입력!$A:$L,9,FALSE)+VLOOKUP($A90,데이터입력!$A:$L,10,FALSE),""),"")</f>
        <v/>
      </c>
      <c r="J90" s="612" t="s">
        <v>135</v>
      </c>
      <c r="K90" s="612" t="s">
        <v>135</v>
      </c>
      <c r="L90" s="612" t="s">
        <v>135</v>
      </c>
      <c r="M90" s="604"/>
      <c r="N90" s="180">
        <v>288</v>
      </c>
      <c r="O90" s="616" t="str">
        <f>IFERROR(IF(S90="06",데이터입력!$AB$8,IF(S90="07",데이터입력!$AD$8,IF(S90="05",데이터입력!$AF$8,데이터입력!$AB$8))),데이터입력!$AB$8)</f>
        <v>00</v>
      </c>
      <c r="P90" s="617" t="str">
        <f>데이터입력!$AC$9</f>
        <v>일반사업[일반]</v>
      </c>
      <c r="Q90" s="618" t="str">
        <f>IFERROR(IF(데이터입력!$AE$2="추경",VLOOKUP($N90,데이터입력!$A:$H,4,FALSE),""),"")</f>
        <v/>
      </c>
      <c r="R90" s="618" t="str">
        <f>IFERROR(IF(데이터입력!$AE$2="추경",VLOOKUP($N90,데이터입력!$A:$H,2,FALSE),""),"")</f>
        <v/>
      </c>
      <c r="S90" s="618" t="str">
        <f>IFERROR(IF(데이터입력!$AE$2="추경",VLOOKUP($N90,데이터입력!$A:$H,5,FALSE),""),"")</f>
        <v/>
      </c>
      <c r="T90" s="618" t="str">
        <f>IFERROR(IF(데이터입력!$AE$2="추경",VLOOKUP($N90,데이터입력!$A:$H,6,FALSE),""),"")</f>
        <v/>
      </c>
      <c r="U90" s="619" t="str">
        <f>IFERROR(IF(데이터입력!$AE$2="추경",VLOOKUP($N90,데이터입력!$A:$L,8,FALSE)+VLOOKUP($N90,데이터입력!$A:$L,9,FALSE)+VLOOKUP($N90,데이터입력!$A:$L,10,FALSE),""),"")</f>
        <v/>
      </c>
      <c r="V90" s="620" t="s">
        <v>135</v>
      </c>
      <c r="W90" s="620" t="s">
        <v>135</v>
      </c>
      <c r="X90" s="620" t="s">
        <v>135</v>
      </c>
      <c r="Y90" s="601"/>
      <c r="Z90" s="182" t="str">
        <f>데이터입력!$AB$8</f>
        <v>00</v>
      </c>
      <c r="AA90" s="185" t="str">
        <f>데이터입력!$AC$9</f>
        <v>일반사업[일반]</v>
      </c>
      <c r="AB90" s="183" t="str">
        <f>IFERROR(IF(데이터입력!$AE$2="추경",VLOOKUP($A90,#REF!,4,FALSE),""),"")</f>
        <v/>
      </c>
      <c r="AC90" s="183" t="str">
        <f>IFERROR(IF(데이터입력!$AE$2="추경",VLOOKUP($A90,#REF!,5,FALSE),""),"")</f>
        <v/>
      </c>
      <c r="AD90" s="183" t="str">
        <f>IFERROR(IF(데이터입력!$AE$2="추경",VLOOKUP($A90,#REF!,6,FALSE),""),"")</f>
        <v/>
      </c>
      <c r="AE90" s="183" t="str">
        <f>IFERROR(IF(데이터입력!$AE$2="추경",VLOOKUP($A90,#REF!,7,FALSE),""),"")</f>
        <v/>
      </c>
      <c r="AF90" s="183"/>
      <c r="AG90" s="184" t="str">
        <f>IFERROR(IF(데이터입력!$AE$2="추경",VLOOKUP($A90,#REF!,9,FALSE),""),"")</f>
        <v/>
      </c>
      <c r="AH90" s="184" t="str">
        <f>IFERROR(IF(데이터입력!$AE$2="추경",VLOOKUP($A90,#REF!,10,FALSE),""),"")</f>
        <v/>
      </c>
      <c r="AI90" s="184" t="str">
        <f>IFERROR(IF(데이터입력!$AE$2="추경",VLOOKUP($A90,#REF!,11,FALSE),""),"")</f>
        <v/>
      </c>
      <c r="AJ90" s="184" t="str">
        <f>IFERROR(IF(데이터입력!$AE$2="추경",VLOOKUP($A90,#REF!,12,FALSE),""),"")</f>
        <v/>
      </c>
      <c r="AK90" s="184" t="str">
        <f>IFERROR(IF(데이터입력!$AE$2="추경",VLOOKUP($A90,#REF!,13,FALSE),""),"")</f>
        <v/>
      </c>
    </row>
    <row r="91" spans="1:37">
      <c r="A91" s="180">
        <v>89</v>
      </c>
      <c r="B91" s="608" t="str">
        <f>IFERROR(IF(F91="06",데이터입력!$AB$8,IF(F91="07",데이터입력!$AD$8,IF(F91="05",데이터입력!$AF$8,데이터입력!$AB$8))),데이터입력!$AB$8)</f>
        <v>00</v>
      </c>
      <c r="C91" s="609" t="str">
        <f>데이터입력!$AC$9</f>
        <v>일반사업[일반]</v>
      </c>
      <c r="D91" s="610" t="str">
        <f>IFERROR(IF(AND(데이터입력!$AE$2="추경",데이터입력!$AM$2=TRUE),VLOOKUP($A91,데이터입력!$A:$H,4,FALSE),""),"")</f>
        <v/>
      </c>
      <c r="E91" s="610" t="str">
        <f>IFERROR(IF(AND(데이터입력!$AE$2="추경",데이터입력!$AM$2=TRUE),VLOOKUP($A91,데이터입력!$A:$H,2,FALSE),""),"")</f>
        <v/>
      </c>
      <c r="F91" s="610" t="str">
        <f>IFERROR(IF(AND(데이터입력!$AE$2="추경",데이터입력!$AM$2=TRUE),VLOOKUP($A91,데이터입력!$A:$H,5,FALSE),""),"")</f>
        <v/>
      </c>
      <c r="G91" s="610" t="str">
        <f>IFERROR(IF(AND(데이터입력!$AE$2="추경",데이터입력!$AM$2=TRUE),VLOOKUP($A91,데이터입력!$A:$H,6,FALSE),""),"")</f>
        <v/>
      </c>
      <c r="H91" s="611" t="str">
        <f>IFERROR(IF(AND(데이터입력!$AE$2="추경",데이터입력!$AM$2=TRUE),VLOOKUP($A91,데이터입력!$A:$L,7,FALSE),""),"")</f>
        <v/>
      </c>
      <c r="I91" s="611" t="str">
        <f>IFERROR(IF(AND(데이터입력!$AE$2="추경",데이터입력!$AM$2=TRUE),VLOOKUP($A91,데이터입력!$A:$L,8,FALSE)+VLOOKUP($A91,데이터입력!$A:$L,9,FALSE)+VLOOKUP($A91,데이터입력!$A:$L,10,FALSE),""),"")</f>
        <v/>
      </c>
      <c r="J91" s="612" t="s">
        <v>135</v>
      </c>
      <c r="K91" s="612" t="s">
        <v>135</v>
      </c>
      <c r="L91" s="612" t="s">
        <v>135</v>
      </c>
      <c r="M91" s="604"/>
      <c r="N91" s="180">
        <v>289</v>
      </c>
      <c r="O91" s="616" t="str">
        <f>IFERROR(IF(S91="06",데이터입력!$AB$8,IF(S91="07",데이터입력!$AD$8,IF(S91="05",데이터입력!$AF$8,데이터입력!$AB$8))),데이터입력!$AB$8)</f>
        <v>00</v>
      </c>
      <c r="P91" s="617" t="str">
        <f>데이터입력!$AC$9</f>
        <v>일반사업[일반]</v>
      </c>
      <c r="Q91" s="618" t="str">
        <f>IFERROR(IF(데이터입력!$AE$2="추경",VLOOKUP($N91,데이터입력!$A:$H,4,FALSE),""),"")</f>
        <v/>
      </c>
      <c r="R91" s="618" t="str">
        <f>IFERROR(IF(데이터입력!$AE$2="추경",VLOOKUP($N91,데이터입력!$A:$H,2,FALSE),""),"")</f>
        <v/>
      </c>
      <c r="S91" s="618" t="str">
        <f>IFERROR(IF(데이터입력!$AE$2="추경",VLOOKUP($N91,데이터입력!$A:$H,5,FALSE),""),"")</f>
        <v/>
      </c>
      <c r="T91" s="618" t="str">
        <f>IFERROR(IF(데이터입력!$AE$2="추경",VLOOKUP($N91,데이터입력!$A:$H,6,FALSE),""),"")</f>
        <v/>
      </c>
      <c r="U91" s="619" t="str">
        <f>IFERROR(IF(데이터입력!$AE$2="추경",VLOOKUP($N91,데이터입력!$A:$L,8,FALSE)+VLOOKUP($N91,데이터입력!$A:$L,9,FALSE)+VLOOKUP($N91,데이터입력!$A:$L,10,FALSE),""),"")</f>
        <v/>
      </c>
      <c r="V91" s="620" t="s">
        <v>135</v>
      </c>
      <c r="W91" s="620" t="s">
        <v>135</v>
      </c>
      <c r="X91" s="620" t="s">
        <v>135</v>
      </c>
      <c r="Y91" s="601"/>
      <c r="Z91" s="182" t="str">
        <f>데이터입력!$AB$8</f>
        <v>00</v>
      </c>
      <c r="AA91" s="185" t="str">
        <f>데이터입력!$AC$9</f>
        <v>일반사업[일반]</v>
      </c>
      <c r="AB91" s="183" t="str">
        <f>IFERROR(IF(데이터입력!$AE$2="추경",VLOOKUP($A91,#REF!,4,FALSE),""),"")</f>
        <v/>
      </c>
      <c r="AC91" s="183" t="str">
        <f>IFERROR(IF(데이터입력!$AE$2="추경",VLOOKUP($A91,#REF!,5,FALSE),""),"")</f>
        <v/>
      </c>
      <c r="AD91" s="183" t="str">
        <f>IFERROR(IF(데이터입력!$AE$2="추경",VLOOKUP($A91,#REF!,6,FALSE),""),"")</f>
        <v/>
      </c>
      <c r="AE91" s="183" t="str">
        <f>IFERROR(IF(데이터입력!$AE$2="추경",VLOOKUP($A91,#REF!,7,FALSE),""),"")</f>
        <v/>
      </c>
      <c r="AF91" s="183"/>
      <c r="AG91" s="184" t="str">
        <f>IFERROR(IF(데이터입력!$AE$2="추경",VLOOKUP($A91,#REF!,9,FALSE),""),"")</f>
        <v/>
      </c>
      <c r="AH91" s="184" t="str">
        <f>IFERROR(IF(데이터입력!$AE$2="추경",VLOOKUP($A91,#REF!,10,FALSE),""),"")</f>
        <v/>
      </c>
      <c r="AI91" s="184" t="str">
        <f>IFERROR(IF(데이터입력!$AE$2="추경",VLOOKUP($A91,#REF!,11,FALSE),""),"")</f>
        <v/>
      </c>
      <c r="AJ91" s="184" t="str">
        <f>IFERROR(IF(데이터입력!$AE$2="추경",VLOOKUP($A91,#REF!,12,FALSE),""),"")</f>
        <v/>
      </c>
      <c r="AK91" s="184" t="str">
        <f>IFERROR(IF(데이터입력!$AE$2="추경",VLOOKUP($A91,#REF!,13,FALSE),""),"")</f>
        <v/>
      </c>
    </row>
    <row r="92" spans="1:37">
      <c r="A92" s="180">
        <v>90</v>
      </c>
      <c r="B92" s="608" t="str">
        <f>IFERROR(IF(F92="06",데이터입력!$AB$8,IF(F92="07",데이터입력!$AD$8,IF(F92="05",데이터입력!$AF$8,데이터입력!$AB$8))),데이터입력!$AB$8)</f>
        <v>00</v>
      </c>
      <c r="C92" s="609" t="str">
        <f>데이터입력!$AC$9</f>
        <v>일반사업[일반]</v>
      </c>
      <c r="D92" s="610" t="str">
        <f>IFERROR(IF(AND(데이터입력!$AE$2="추경",데이터입력!$AM$2=TRUE),VLOOKUP($A92,데이터입력!$A:$H,4,FALSE),""),"")</f>
        <v/>
      </c>
      <c r="E92" s="610" t="str">
        <f>IFERROR(IF(AND(데이터입력!$AE$2="추경",데이터입력!$AM$2=TRUE),VLOOKUP($A92,데이터입력!$A:$H,2,FALSE),""),"")</f>
        <v/>
      </c>
      <c r="F92" s="610" t="str">
        <f>IFERROR(IF(AND(데이터입력!$AE$2="추경",데이터입력!$AM$2=TRUE),VLOOKUP($A92,데이터입력!$A:$H,5,FALSE),""),"")</f>
        <v/>
      </c>
      <c r="G92" s="610" t="str">
        <f>IFERROR(IF(AND(데이터입력!$AE$2="추경",데이터입력!$AM$2=TRUE),VLOOKUP($A92,데이터입력!$A:$H,6,FALSE),""),"")</f>
        <v/>
      </c>
      <c r="H92" s="611" t="str">
        <f>IFERROR(IF(AND(데이터입력!$AE$2="추경",데이터입력!$AM$2=TRUE),VLOOKUP($A92,데이터입력!$A:$L,7,FALSE),""),"")</f>
        <v/>
      </c>
      <c r="I92" s="611" t="str">
        <f>IFERROR(IF(AND(데이터입력!$AE$2="추경",데이터입력!$AM$2=TRUE),VLOOKUP($A92,데이터입력!$A:$L,8,FALSE)+VLOOKUP($A92,데이터입력!$A:$L,9,FALSE)+VLOOKUP($A92,데이터입력!$A:$L,10,FALSE),""),"")</f>
        <v/>
      </c>
      <c r="J92" s="612" t="s">
        <v>135</v>
      </c>
      <c r="K92" s="612" t="s">
        <v>135</v>
      </c>
      <c r="L92" s="612" t="s">
        <v>135</v>
      </c>
      <c r="M92" s="604"/>
      <c r="N92" s="180">
        <v>290</v>
      </c>
      <c r="O92" s="616" t="str">
        <f>IFERROR(IF(S92="06",데이터입력!$AB$8,IF(S92="07",데이터입력!$AD$8,IF(S92="05",데이터입력!$AF$8,데이터입력!$AB$8))),데이터입력!$AB$8)</f>
        <v>00</v>
      </c>
      <c r="P92" s="617" t="str">
        <f>데이터입력!$AC$9</f>
        <v>일반사업[일반]</v>
      </c>
      <c r="Q92" s="618" t="str">
        <f>IFERROR(IF(데이터입력!$AE$2="추경",VLOOKUP($N92,데이터입력!$A:$H,4,FALSE),""),"")</f>
        <v/>
      </c>
      <c r="R92" s="618" t="str">
        <f>IFERROR(IF(데이터입력!$AE$2="추경",VLOOKUP($N92,데이터입력!$A:$H,2,FALSE),""),"")</f>
        <v/>
      </c>
      <c r="S92" s="618" t="str">
        <f>IFERROR(IF(데이터입력!$AE$2="추경",VLOOKUP($N92,데이터입력!$A:$H,5,FALSE),""),"")</f>
        <v/>
      </c>
      <c r="T92" s="618" t="str">
        <f>IFERROR(IF(데이터입력!$AE$2="추경",VLOOKUP($N92,데이터입력!$A:$H,6,FALSE),""),"")</f>
        <v/>
      </c>
      <c r="U92" s="619" t="str">
        <f>IFERROR(IF(데이터입력!$AE$2="추경",VLOOKUP($N92,데이터입력!$A:$L,8,FALSE)+VLOOKUP($N92,데이터입력!$A:$L,9,FALSE)+VLOOKUP($N92,데이터입력!$A:$L,10,FALSE),""),"")</f>
        <v/>
      </c>
      <c r="V92" s="620" t="s">
        <v>135</v>
      </c>
      <c r="W92" s="620" t="s">
        <v>135</v>
      </c>
      <c r="X92" s="620" t="s">
        <v>135</v>
      </c>
      <c r="Y92" s="601"/>
      <c r="Z92" s="182" t="str">
        <f>데이터입력!$AB$8</f>
        <v>00</v>
      </c>
      <c r="AA92" s="185" t="str">
        <f>데이터입력!$AC$9</f>
        <v>일반사업[일반]</v>
      </c>
      <c r="AB92" s="183" t="str">
        <f>IFERROR(IF(데이터입력!$AE$2="추경",VLOOKUP($A92,#REF!,4,FALSE),""),"")</f>
        <v/>
      </c>
      <c r="AC92" s="183" t="str">
        <f>IFERROR(IF(데이터입력!$AE$2="추경",VLOOKUP($A92,#REF!,5,FALSE),""),"")</f>
        <v/>
      </c>
      <c r="AD92" s="183" t="str">
        <f>IFERROR(IF(데이터입력!$AE$2="추경",VLOOKUP($A92,#REF!,6,FALSE),""),"")</f>
        <v/>
      </c>
      <c r="AE92" s="183" t="str">
        <f>IFERROR(IF(데이터입력!$AE$2="추경",VLOOKUP($A92,#REF!,7,FALSE),""),"")</f>
        <v/>
      </c>
      <c r="AF92" s="183"/>
      <c r="AG92" s="184" t="str">
        <f>IFERROR(IF(데이터입력!$AE$2="추경",VLOOKUP($A92,#REF!,9,FALSE),""),"")</f>
        <v/>
      </c>
      <c r="AH92" s="184" t="str">
        <f>IFERROR(IF(데이터입력!$AE$2="추경",VLOOKUP($A92,#REF!,10,FALSE),""),"")</f>
        <v/>
      </c>
      <c r="AI92" s="184" t="str">
        <f>IFERROR(IF(데이터입력!$AE$2="추경",VLOOKUP($A92,#REF!,11,FALSE),""),"")</f>
        <v/>
      </c>
      <c r="AJ92" s="184" t="str">
        <f>IFERROR(IF(데이터입력!$AE$2="추경",VLOOKUP($A92,#REF!,12,FALSE),""),"")</f>
        <v/>
      </c>
      <c r="AK92" s="184" t="str">
        <f>IFERROR(IF(데이터입력!$AE$2="추경",VLOOKUP($A92,#REF!,13,FALSE),""),"")</f>
        <v/>
      </c>
    </row>
    <row r="93" spans="1:37">
      <c r="A93" s="180">
        <v>91</v>
      </c>
      <c r="B93" s="608" t="str">
        <f>IFERROR(IF(F93="06",데이터입력!$AB$8,IF(F93="07",데이터입력!$AD$8,IF(F93="05",데이터입력!$AF$8,데이터입력!$AB$8))),데이터입력!$AB$8)</f>
        <v>00</v>
      </c>
      <c r="C93" s="609" t="str">
        <f>데이터입력!$AC$9</f>
        <v>일반사업[일반]</v>
      </c>
      <c r="D93" s="610" t="str">
        <f>IFERROR(IF(AND(데이터입력!$AE$2="추경",데이터입력!$AM$2=TRUE),VLOOKUP($A93,데이터입력!$A:$H,4,FALSE),""),"")</f>
        <v/>
      </c>
      <c r="E93" s="610" t="str">
        <f>IFERROR(IF(AND(데이터입력!$AE$2="추경",데이터입력!$AM$2=TRUE),VLOOKUP($A93,데이터입력!$A:$H,2,FALSE),""),"")</f>
        <v/>
      </c>
      <c r="F93" s="610" t="str">
        <f>IFERROR(IF(AND(데이터입력!$AE$2="추경",데이터입력!$AM$2=TRUE),VLOOKUP($A93,데이터입력!$A:$H,5,FALSE),""),"")</f>
        <v/>
      </c>
      <c r="G93" s="610" t="str">
        <f>IFERROR(IF(AND(데이터입력!$AE$2="추경",데이터입력!$AM$2=TRUE),VLOOKUP($A93,데이터입력!$A:$H,6,FALSE),""),"")</f>
        <v/>
      </c>
      <c r="H93" s="611" t="str">
        <f>IFERROR(IF(AND(데이터입력!$AE$2="추경",데이터입력!$AM$2=TRUE),VLOOKUP($A93,데이터입력!$A:$L,7,FALSE),""),"")</f>
        <v/>
      </c>
      <c r="I93" s="611" t="str">
        <f>IFERROR(IF(AND(데이터입력!$AE$2="추경",데이터입력!$AM$2=TRUE),VLOOKUP($A93,데이터입력!$A:$L,8,FALSE)+VLOOKUP($A93,데이터입력!$A:$L,9,FALSE)+VLOOKUP($A93,데이터입력!$A:$L,10,FALSE),""),"")</f>
        <v/>
      </c>
      <c r="J93" s="612" t="s">
        <v>135</v>
      </c>
      <c r="K93" s="612" t="s">
        <v>135</v>
      </c>
      <c r="L93" s="612" t="s">
        <v>135</v>
      </c>
      <c r="M93" s="604"/>
      <c r="N93" s="180">
        <v>291</v>
      </c>
      <c r="O93" s="616" t="str">
        <f>IFERROR(IF(S93="06",데이터입력!$AB$8,IF(S93="07",데이터입력!$AD$8,IF(S93="05",데이터입력!$AF$8,데이터입력!$AB$8))),데이터입력!$AB$8)</f>
        <v>00</v>
      </c>
      <c r="P93" s="617" t="str">
        <f>데이터입력!$AC$9</f>
        <v>일반사업[일반]</v>
      </c>
      <c r="Q93" s="618" t="str">
        <f>IFERROR(IF(데이터입력!$AE$2="추경",VLOOKUP($N93,데이터입력!$A:$H,4,FALSE),""),"")</f>
        <v/>
      </c>
      <c r="R93" s="618" t="str">
        <f>IFERROR(IF(데이터입력!$AE$2="추경",VLOOKUP($N93,데이터입력!$A:$H,2,FALSE),""),"")</f>
        <v/>
      </c>
      <c r="S93" s="618" t="str">
        <f>IFERROR(IF(데이터입력!$AE$2="추경",VLOOKUP($N93,데이터입력!$A:$H,5,FALSE),""),"")</f>
        <v/>
      </c>
      <c r="T93" s="618" t="str">
        <f>IFERROR(IF(데이터입력!$AE$2="추경",VLOOKUP($N93,데이터입력!$A:$H,6,FALSE),""),"")</f>
        <v/>
      </c>
      <c r="U93" s="619" t="str">
        <f>IFERROR(IF(데이터입력!$AE$2="추경",VLOOKUP($N93,데이터입력!$A:$L,8,FALSE)+VLOOKUP($N93,데이터입력!$A:$L,9,FALSE)+VLOOKUP($N93,데이터입력!$A:$L,10,FALSE),""),"")</f>
        <v/>
      </c>
      <c r="V93" s="620" t="s">
        <v>135</v>
      </c>
      <c r="W93" s="620" t="s">
        <v>135</v>
      </c>
      <c r="X93" s="620" t="s">
        <v>135</v>
      </c>
      <c r="Y93" s="601"/>
      <c r="Z93" s="182" t="str">
        <f>데이터입력!$AB$8</f>
        <v>00</v>
      </c>
      <c r="AA93" s="185" t="str">
        <f>데이터입력!$AC$9</f>
        <v>일반사업[일반]</v>
      </c>
      <c r="AB93" s="183" t="str">
        <f>IFERROR(IF(데이터입력!$AE$2="추경",VLOOKUP($A93,#REF!,4,FALSE),""),"")</f>
        <v/>
      </c>
      <c r="AC93" s="183" t="str">
        <f>IFERROR(IF(데이터입력!$AE$2="추경",VLOOKUP($A93,#REF!,5,FALSE),""),"")</f>
        <v/>
      </c>
      <c r="AD93" s="183" t="str">
        <f>IFERROR(IF(데이터입력!$AE$2="추경",VLOOKUP($A93,#REF!,6,FALSE),""),"")</f>
        <v/>
      </c>
      <c r="AE93" s="183" t="str">
        <f>IFERROR(IF(데이터입력!$AE$2="추경",VLOOKUP($A93,#REF!,7,FALSE),""),"")</f>
        <v/>
      </c>
      <c r="AF93" s="183"/>
      <c r="AG93" s="184" t="str">
        <f>IFERROR(IF(데이터입력!$AE$2="추경",VLOOKUP($A93,#REF!,9,FALSE),""),"")</f>
        <v/>
      </c>
      <c r="AH93" s="184" t="str">
        <f>IFERROR(IF(데이터입력!$AE$2="추경",VLOOKUP($A93,#REF!,10,FALSE),""),"")</f>
        <v/>
      </c>
      <c r="AI93" s="184" t="str">
        <f>IFERROR(IF(데이터입력!$AE$2="추경",VLOOKUP($A93,#REF!,11,FALSE),""),"")</f>
        <v/>
      </c>
      <c r="AJ93" s="184" t="str">
        <f>IFERROR(IF(데이터입력!$AE$2="추경",VLOOKUP($A93,#REF!,12,FALSE),""),"")</f>
        <v/>
      </c>
      <c r="AK93" s="184" t="str">
        <f>IFERROR(IF(데이터입력!$AE$2="추경",VLOOKUP($A93,#REF!,13,FALSE),""),"")</f>
        <v/>
      </c>
    </row>
    <row r="94" spans="1:37">
      <c r="A94" s="180">
        <v>92</v>
      </c>
      <c r="B94" s="608" t="str">
        <f>IFERROR(IF(F94="06",데이터입력!$AB$8,IF(F94="07",데이터입력!$AD$8,IF(F94="05",데이터입력!$AF$8,데이터입력!$AB$8))),데이터입력!$AB$8)</f>
        <v>00</v>
      </c>
      <c r="C94" s="609" t="str">
        <f>데이터입력!$AC$9</f>
        <v>일반사업[일반]</v>
      </c>
      <c r="D94" s="610" t="str">
        <f>IFERROR(IF(AND(데이터입력!$AE$2="추경",데이터입력!$AM$2=TRUE),VLOOKUP($A94,데이터입력!$A:$H,4,FALSE),""),"")</f>
        <v/>
      </c>
      <c r="E94" s="610" t="str">
        <f>IFERROR(IF(AND(데이터입력!$AE$2="추경",데이터입력!$AM$2=TRUE),VLOOKUP($A94,데이터입력!$A:$H,2,FALSE),""),"")</f>
        <v/>
      </c>
      <c r="F94" s="610" t="str">
        <f>IFERROR(IF(AND(데이터입력!$AE$2="추경",데이터입력!$AM$2=TRUE),VLOOKUP($A94,데이터입력!$A:$H,5,FALSE),""),"")</f>
        <v/>
      </c>
      <c r="G94" s="610" t="str">
        <f>IFERROR(IF(AND(데이터입력!$AE$2="추경",데이터입력!$AM$2=TRUE),VLOOKUP($A94,데이터입력!$A:$H,6,FALSE),""),"")</f>
        <v/>
      </c>
      <c r="H94" s="611" t="str">
        <f>IFERROR(IF(AND(데이터입력!$AE$2="추경",데이터입력!$AM$2=TRUE),VLOOKUP($A94,데이터입력!$A:$L,7,FALSE),""),"")</f>
        <v/>
      </c>
      <c r="I94" s="611" t="str">
        <f>IFERROR(IF(AND(데이터입력!$AE$2="추경",데이터입력!$AM$2=TRUE),VLOOKUP($A94,데이터입력!$A:$L,8,FALSE)+VLOOKUP($A94,데이터입력!$A:$L,9,FALSE)+VLOOKUP($A94,데이터입력!$A:$L,10,FALSE),""),"")</f>
        <v/>
      </c>
      <c r="J94" s="612" t="s">
        <v>135</v>
      </c>
      <c r="K94" s="612" t="s">
        <v>135</v>
      </c>
      <c r="L94" s="612" t="s">
        <v>135</v>
      </c>
      <c r="M94" s="604"/>
      <c r="N94" s="180">
        <v>292</v>
      </c>
      <c r="O94" s="616" t="str">
        <f>IFERROR(IF(S94="06",데이터입력!$AB$8,IF(S94="07",데이터입력!$AD$8,IF(S94="05",데이터입력!$AF$8,데이터입력!$AB$8))),데이터입력!$AB$8)</f>
        <v>00</v>
      </c>
      <c r="P94" s="617" t="str">
        <f>데이터입력!$AC$9</f>
        <v>일반사업[일반]</v>
      </c>
      <c r="Q94" s="618" t="str">
        <f>IFERROR(IF(데이터입력!$AE$2="추경",VLOOKUP($N94,데이터입력!$A:$H,4,FALSE),""),"")</f>
        <v/>
      </c>
      <c r="R94" s="618" t="str">
        <f>IFERROR(IF(데이터입력!$AE$2="추경",VLOOKUP($N94,데이터입력!$A:$H,2,FALSE),""),"")</f>
        <v/>
      </c>
      <c r="S94" s="618" t="str">
        <f>IFERROR(IF(데이터입력!$AE$2="추경",VLOOKUP($N94,데이터입력!$A:$H,5,FALSE),""),"")</f>
        <v/>
      </c>
      <c r="T94" s="618" t="str">
        <f>IFERROR(IF(데이터입력!$AE$2="추경",VLOOKUP($N94,데이터입력!$A:$H,6,FALSE),""),"")</f>
        <v/>
      </c>
      <c r="U94" s="619" t="str">
        <f>IFERROR(IF(데이터입력!$AE$2="추경",VLOOKUP($N94,데이터입력!$A:$L,8,FALSE)+VLOOKUP($N94,데이터입력!$A:$L,9,FALSE)+VLOOKUP($N94,데이터입력!$A:$L,10,FALSE),""),"")</f>
        <v/>
      </c>
      <c r="V94" s="620" t="s">
        <v>135</v>
      </c>
      <c r="W94" s="620" t="s">
        <v>135</v>
      </c>
      <c r="X94" s="620" t="s">
        <v>135</v>
      </c>
      <c r="Y94" s="601"/>
      <c r="Z94" s="182" t="str">
        <f>데이터입력!$AB$8</f>
        <v>00</v>
      </c>
      <c r="AA94" s="185" t="str">
        <f>데이터입력!$AC$9</f>
        <v>일반사업[일반]</v>
      </c>
      <c r="AB94" s="183" t="str">
        <f>IFERROR(IF(데이터입력!$AE$2="추경",VLOOKUP($A94,#REF!,4,FALSE),""),"")</f>
        <v/>
      </c>
      <c r="AC94" s="183" t="str">
        <f>IFERROR(IF(데이터입력!$AE$2="추경",VLOOKUP($A94,#REF!,5,FALSE),""),"")</f>
        <v/>
      </c>
      <c r="AD94" s="183" t="str">
        <f>IFERROR(IF(데이터입력!$AE$2="추경",VLOOKUP($A94,#REF!,6,FALSE),""),"")</f>
        <v/>
      </c>
      <c r="AE94" s="183" t="str">
        <f>IFERROR(IF(데이터입력!$AE$2="추경",VLOOKUP($A94,#REF!,7,FALSE),""),"")</f>
        <v/>
      </c>
      <c r="AF94" s="183"/>
      <c r="AG94" s="184" t="str">
        <f>IFERROR(IF(데이터입력!$AE$2="추경",VLOOKUP($A94,#REF!,9,FALSE),""),"")</f>
        <v/>
      </c>
      <c r="AH94" s="184" t="str">
        <f>IFERROR(IF(데이터입력!$AE$2="추경",VLOOKUP($A94,#REF!,10,FALSE),""),"")</f>
        <v/>
      </c>
      <c r="AI94" s="184" t="str">
        <f>IFERROR(IF(데이터입력!$AE$2="추경",VLOOKUP($A94,#REF!,11,FALSE),""),"")</f>
        <v/>
      </c>
      <c r="AJ94" s="184" t="str">
        <f>IFERROR(IF(데이터입력!$AE$2="추경",VLOOKUP($A94,#REF!,12,FALSE),""),"")</f>
        <v/>
      </c>
      <c r="AK94" s="184" t="str">
        <f>IFERROR(IF(데이터입력!$AE$2="추경",VLOOKUP($A94,#REF!,13,FALSE),""),"")</f>
        <v/>
      </c>
    </row>
    <row r="95" spans="1:37">
      <c r="A95" s="180">
        <v>93</v>
      </c>
      <c r="B95" s="608" t="str">
        <f>IFERROR(IF(F95="06",데이터입력!$AB$8,IF(F95="07",데이터입력!$AD$8,IF(F95="05",데이터입력!$AF$8,데이터입력!$AB$8))),데이터입력!$AB$8)</f>
        <v>00</v>
      </c>
      <c r="C95" s="609" t="str">
        <f>데이터입력!$AC$9</f>
        <v>일반사업[일반]</v>
      </c>
      <c r="D95" s="610" t="str">
        <f>IFERROR(IF(AND(데이터입력!$AE$2="추경",데이터입력!$AM$2=TRUE),VLOOKUP($A95,데이터입력!$A:$H,4,FALSE),""),"")</f>
        <v/>
      </c>
      <c r="E95" s="610" t="str">
        <f>IFERROR(IF(AND(데이터입력!$AE$2="추경",데이터입력!$AM$2=TRUE),VLOOKUP($A95,데이터입력!$A:$H,2,FALSE),""),"")</f>
        <v/>
      </c>
      <c r="F95" s="610" t="str">
        <f>IFERROR(IF(AND(데이터입력!$AE$2="추경",데이터입력!$AM$2=TRUE),VLOOKUP($A95,데이터입력!$A:$H,5,FALSE),""),"")</f>
        <v/>
      </c>
      <c r="G95" s="610" t="str">
        <f>IFERROR(IF(AND(데이터입력!$AE$2="추경",데이터입력!$AM$2=TRUE),VLOOKUP($A95,데이터입력!$A:$H,6,FALSE),""),"")</f>
        <v/>
      </c>
      <c r="H95" s="611" t="str">
        <f>IFERROR(IF(AND(데이터입력!$AE$2="추경",데이터입력!$AM$2=TRUE),VLOOKUP($A95,데이터입력!$A:$L,7,FALSE),""),"")</f>
        <v/>
      </c>
      <c r="I95" s="611" t="str">
        <f>IFERROR(IF(AND(데이터입력!$AE$2="추경",데이터입력!$AM$2=TRUE),VLOOKUP($A95,데이터입력!$A:$L,8,FALSE)+VLOOKUP($A95,데이터입력!$A:$L,9,FALSE)+VLOOKUP($A95,데이터입력!$A:$L,10,FALSE),""),"")</f>
        <v/>
      </c>
      <c r="J95" s="612" t="s">
        <v>135</v>
      </c>
      <c r="K95" s="612" t="s">
        <v>135</v>
      </c>
      <c r="L95" s="612" t="s">
        <v>135</v>
      </c>
      <c r="M95" s="604"/>
      <c r="N95" s="180">
        <v>293</v>
      </c>
      <c r="O95" s="616" t="str">
        <f>IFERROR(IF(S95="06",데이터입력!$AB$8,IF(S95="07",데이터입력!$AD$8,IF(S95="05",데이터입력!$AF$8,데이터입력!$AB$8))),데이터입력!$AB$8)</f>
        <v>00</v>
      </c>
      <c r="P95" s="617" t="str">
        <f>데이터입력!$AC$9</f>
        <v>일반사업[일반]</v>
      </c>
      <c r="Q95" s="618" t="str">
        <f>IFERROR(IF(데이터입력!$AE$2="추경",VLOOKUP($N95,데이터입력!$A:$H,4,FALSE),""),"")</f>
        <v/>
      </c>
      <c r="R95" s="618" t="str">
        <f>IFERROR(IF(데이터입력!$AE$2="추경",VLOOKUP($N95,데이터입력!$A:$H,2,FALSE),""),"")</f>
        <v/>
      </c>
      <c r="S95" s="618" t="str">
        <f>IFERROR(IF(데이터입력!$AE$2="추경",VLOOKUP($N95,데이터입력!$A:$H,5,FALSE),""),"")</f>
        <v/>
      </c>
      <c r="T95" s="618" t="str">
        <f>IFERROR(IF(데이터입력!$AE$2="추경",VLOOKUP($N95,데이터입력!$A:$H,6,FALSE),""),"")</f>
        <v/>
      </c>
      <c r="U95" s="619" t="str">
        <f>IFERROR(IF(데이터입력!$AE$2="추경",VLOOKUP($N95,데이터입력!$A:$L,8,FALSE)+VLOOKUP($N95,데이터입력!$A:$L,9,FALSE)+VLOOKUP($N95,데이터입력!$A:$L,10,FALSE),""),"")</f>
        <v/>
      </c>
      <c r="V95" s="620" t="s">
        <v>135</v>
      </c>
      <c r="W95" s="620" t="s">
        <v>135</v>
      </c>
      <c r="X95" s="620" t="s">
        <v>135</v>
      </c>
      <c r="Y95" s="601"/>
      <c r="Z95" s="182" t="str">
        <f>데이터입력!$AB$8</f>
        <v>00</v>
      </c>
      <c r="AA95" s="185" t="str">
        <f>데이터입력!$AC$9</f>
        <v>일반사업[일반]</v>
      </c>
      <c r="AB95" s="183" t="str">
        <f>IFERROR(IF(데이터입력!$AE$2="추경",VLOOKUP($A95,#REF!,4,FALSE),""),"")</f>
        <v/>
      </c>
      <c r="AC95" s="183" t="str">
        <f>IFERROR(IF(데이터입력!$AE$2="추경",VLOOKUP($A95,#REF!,5,FALSE),""),"")</f>
        <v/>
      </c>
      <c r="AD95" s="183" t="str">
        <f>IFERROR(IF(데이터입력!$AE$2="추경",VLOOKUP($A95,#REF!,6,FALSE),""),"")</f>
        <v/>
      </c>
      <c r="AE95" s="183" t="str">
        <f>IFERROR(IF(데이터입력!$AE$2="추경",VLOOKUP($A95,#REF!,7,FALSE),""),"")</f>
        <v/>
      </c>
      <c r="AF95" s="183"/>
      <c r="AG95" s="184" t="str">
        <f>IFERROR(IF(데이터입력!$AE$2="추경",VLOOKUP($A95,#REF!,9,FALSE),""),"")</f>
        <v/>
      </c>
      <c r="AH95" s="184" t="str">
        <f>IFERROR(IF(데이터입력!$AE$2="추경",VLOOKUP($A95,#REF!,10,FALSE),""),"")</f>
        <v/>
      </c>
      <c r="AI95" s="184" t="str">
        <f>IFERROR(IF(데이터입력!$AE$2="추경",VLOOKUP($A95,#REF!,11,FALSE),""),"")</f>
        <v/>
      </c>
      <c r="AJ95" s="184" t="str">
        <f>IFERROR(IF(데이터입력!$AE$2="추경",VLOOKUP($A95,#REF!,12,FALSE),""),"")</f>
        <v/>
      </c>
      <c r="AK95" s="184" t="str">
        <f>IFERROR(IF(데이터입력!$AE$2="추경",VLOOKUP($A95,#REF!,13,FALSE),""),"")</f>
        <v/>
      </c>
    </row>
    <row r="96" spans="1:37">
      <c r="A96" s="180">
        <v>94</v>
      </c>
      <c r="B96" s="608" t="str">
        <f>IFERROR(IF(F96="06",데이터입력!$AB$8,IF(F96="07",데이터입력!$AD$8,IF(F96="05",데이터입력!$AF$8,데이터입력!$AB$8))),데이터입력!$AB$8)</f>
        <v>00</v>
      </c>
      <c r="C96" s="609" t="str">
        <f>데이터입력!$AC$9</f>
        <v>일반사업[일반]</v>
      </c>
      <c r="D96" s="610" t="str">
        <f>IFERROR(IF(AND(데이터입력!$AE$2="추경",데이터입력!$AM$2=TRUE),VLOOKUP($A96,데이터입력!$A:$H,4,FALSE),""),"")</f>
        <v/>
      </c>
      <c r="E96" s="610" t="str">
        <f>IFERROR(IF(AND(데이터입력!$AE$2="추경",데이터입력!$AM$2=TRUE),VLOOKUP($A96,데이터입력!$A:$H,2,FALSE),""),"")</f>
        <v/>
      </c>
      <c r="F96" s="610" t="str">
        <f>IFERROR(IF(AND(데이터입력!$AE$2="추경",데이터입력!$AM$2=TRUE),VLOOKUP($A96,데이터입력!$A:$H,5,FALSE),""),"")</f>
        <v/>
      </c>
      <c r="G96" s="610" t="str">
        <f>IFERROR(IF(AND(데이터입력!$AE$2="추경",데이터입력!$AM$2=TRUE),VLOOKUP($A96,데이터입력!$A:$H,6,FALSE),""),"")</f>
        <v/>
      </c>
      <c r="H96" s="611" t="str">
        <f>IFERROR(IF(AND(데이터입력!$AE$2="추경",데이터입력!$AM$2=TRUE),VLOOKUP($A96,데이터입력!$A:$L,7,FALSE),""),"")</f>
        <v/>
      </c>
      <c r="I96" s="611" t="str">
        <f>IFERROR(IF(AND(데이터입력!$AE$2="추경",데이터입력!$AM$2=TRUE),VLOOKUP($A96,데이터입력!$A:$L,8,FALSE)+VLOOKUP($A96,데이터입력!$A:$L,9,FALSE)+VLOOKUP($A96,데이터입력!$A:$L,10,FALSE),""),"")</f>
        <v/>
      </c>
      <c r="J96" s="612" t="s">
        <v>135</v>
      </c>
      <c r="K96" s="612" t="s">
        <v>135</v>
      </c>
      <c r="L96" s="612" t="s">
        <v>135</v>
      </c>
      <c r="M96" s="604"/>
      <c r="N96" s="180">
        <v>294</v>
      </c>
      <c r="O96" s="616" t="str">
        <f>IFERROR(IF(S96="06",데이터입력!$AB$8,IF(S96="07",데이터입력!$AD$8,IF(S96="05",데이터입력!$AF$8,데이터입력!$AB$8))),데이터입력!$AB$8)</f>
        <v>00</v>
      </c>
      <c r="P96" s="617" t="str">
        <f>데이터입력!$AC$9</f>
        <v>일반사업[일반]</v>
      </c>
      <c r="Q96" s="618" t="str">
        <f>IFERROR(IF(데이터입력!$AE$2="추경",VLOOKUP($N96,데이터입력!$A:$H,4,FALSE),""),"")</f>
        <v/>
      </c>
      <c r="R96" s="618" t="str">
        <f>IFERROR(IF(데이터입력!$AE$2="추경",VLOOKUP($N96,데이터입력!$A:$H,2,FALSE),""),"")</f>
        <v/>
      </c>
      <c r="S96" s="618" t="str">
        <f>IFERROR(IF(데이터입력!$AE$2="추경",VLOOKUP($N96,데이터입력!$A:$H,5,FALSE),""),"")</f>
        <v/>
      </c>
      <c r="T96" s="618" t="str">
        <f>IFERROR(IF(데이터입력!$AE$2="추경",VLOOKUP($N96,데이터입력!$A:$H,6,FALSE),""),"")</f>
        <v/>
      </c>
      <c r="U96" s="619" t="str">
        <f>IFERROR(IF(데이터입력!$AE$2="추경",VLOOKUP($N96,데이터입력!$A:$L,8,FALSE)+VLOOKUP($N96,데이터입력!$A:$L,9,FALSE)+VLOOKUP($N96,데이터입력!$A:$L,10,FALSE),""),"")</f>
        <v/>
      </c>
      <c r="V96" s="620" t="s">
        <v>135</v>
      </c>
      <c r="W96" s="620" t="s">
        <v>135</v>
      </c>
      <c r="X96" s="620" t="s">
        <v>135</v>
      </c>
      <c r="Y96" s="601"/>
      <c r="Z96" s="182" t="str">
        <f>데이터입력!$AB$8</f>
        <v>00</v>
      </c>
      <c r="AA96" s="185" t="str">
        <f>데이터입력!$AC$9</f>
        <v>일반사업[일반]</v>
      </c>
      <c r="AB96" s="183" t="str">
        <f>IFERROR(IF(데이터입력!$AE$2="추경",VLOOKUP($A96,#REF!,4,FALSE),""),"")</f>
        <v/>
      </c>
      <c r="AC96" s="183" t="str">
        <f>IFERROR(IF(데이터입력!$AE$2="추경",VLOOKUP($A96,#REF!,5,FALSE),""),"")</f>
        <v/>
      </c>
      <c r="AD96" s="183" t="str">
        <f>IFERROR(IF(데이터입력!$AE$2="추경",VLOOKUP($A96,#REF!,6,FALSE),""),"")</f>
        <v/>
      </c>
      <c r="AE96" s="183" t="str">
        <f>IFERROR(IF(데이터입력!$AE$2="추경",VLOOKUP($A96,#REF!,7,FALSE),""),"")</f>
        <v/>
      </c>
      <c r="AF96" s="183"/>
      <c r="AG96" s="184" t="str">
        <f>IFERROR(IF(데이터입력!$AE$2="추경",VLOOKUP($A96,#REF!,9,FALSE),""),"")</f>
        <v/>
      </c>
      <c r="AH96" s="184" t="str">
        <f>IFERROR(IF(데이터입력!$AE$2="추경",VLOOKUP($A96,#REF!,10,FALSE),""),"")</f>
        <v/>
      </c>
      <c r="AI96" s="184" t="str">
        <f>IFERROR(IF(데이터입력!$AE$2="추경",VLOOKUP($A96,#REF!,11,FALSE),""),"")</f>
        <v/>
      </c>
      <c r="AJ96" s="184" t="str">
        <f>IFERROR(IF(데이터입력!$AE$2="추경",VLOOKUP($A96,#REF!,12,FALSE),""),"")</f>
        <v/>
      </c>
      <c r="AK96" s="184" t="str">
        <f>IFERROR(IF(데이터입력!$AE$2="추경",VLOOKUP($A96,#REF!,13,FALSE),""),"")</f>
        <v/>
      </c>
    </row>
    <row r="97" spans="1:37">
      <c r="A97" s="180">
        <v>95</v>
      </c>
      <c r="B97" s="608" t="str">
        <f>IFERROR(IF(F97="06",데이터입력!$AB$8,IF(F97="07",데이터입력!$AD$8,IF(F97="05",데이터입력!$AF$8,데이터입력!$AB$8))),데이터입력!$AB$8)</f>
        <v>00</v>
      </c>
      <c r="C97" s="609" t="str">
        <f>데이터입력!$AC$9</f>
        <v>일반사업[일반]</v>
      </c>
      <c r="D97" s="610" t="str">
        <f>IFERROR(IF(AND(데이터입력!$AE$2="추경",데이터입력!$AM$2=TRUE),VLOOKUP($A97,데이터입력!$A:$H,4,FALSE),""),"")</f>
        <v/>
      </c>
      <c r="E97" s="610" t="str">
        <f>IFERROR(IF(AND(데이터입력!$AE$2="추경",데이터입력!$AM$2=TRUE),VLOOKUP($A97,데이터입력!$A:$H,2,FALSE),""),"")</f>
        <v/>
      </c>
      <c r="F97" s="610" t="str">
        <f>IFERROR(IF(AND(데이터입력!$AE$2="추경",데이터입력!$AM$2=TRUE),VLOOKUP($A97,데이터입력!$A:$H,5,FALSE),""),"")</f>
        <v/>
      </c>
      <c r="G97" s="610" t="str">
        <f>IFERROR(IF(AND(데이터입력!$AE$2="추경",데이터입력!$AM$2=TRUE),VLOOKUP($A97,데이터입력!$A:$H,6,FALSE),""),"")</f>
        <v/>
      </c>
      <c r="H97" s="611" t="str">
        <f>IFERROR(IF(AND(데이터입력!$AE$2="추경",데이터입력!$AM$2=TRUE),VLOOKUP($A97,데이터입력!$A:$L,7,FALSE),""),"")</f>
        <v/>
      </c>
      <c r="I97" s="611" t="str">
        <f>IFERROR(IF(AND(데이터입력!$AE$2="추경",데이터입력!$AM$2=TRUE),VLOOKUP($A97,데이터입력!$A:$L,8,FALSE)+VLOOKUP($A97,데이터입력!$A:$L,9,FALSE)+VLOOKUP($A97,데이터입력!$A:$L,10,FALSE),""),"")</f>
        <v/>
      </c>
      <c r="J97" s="612" t="s">
        <v>135</v>
      </c>
      <c r="K97" s="612" t="s">
        <v>135</v>
      </c>
      <c r="L97" s="612" t="s">
        <v>135</v>
      </c>
      <c r="M97" s="604"/>
      <c r="N97" s="180">
        <v>295</v>
      </c>
      <c r="O97" s="616" t="str">
        <f>IFERROR(IF(S97="06",데이터입력!$AB$8,IF(S97="07",데이터입력!$AD$8,IF(S97="05",데이터입력!$AF$8,데이터입력!$AB$8))),데이터입력!$AB$8)</f>
        <v>00</v>
      </c>
      <c r="P97" s="617" t="str">
        <f>데이터입력!$AC$9</f>
        <v>일반사업[일반]</v>
      </c>
      <c r="Q97" s="618" t="str">
        <f>IFERROR(IF(데이터입력!$AE$2="추경",VLOOKUP($N97,데이터입력!$A:$H,4,FALSE),""),"")</f>
        <v/>
      </c>
      <c r="R97" s="618" t="str">
        <f>IFERROR(IF(데이터입력!$AE$2="추경",VLOOKUP($N97,데이터입력!$A:$H,2,FALSE),""),"")</f>
        <v/>
      </c>
      <c r="S97" s="618" t="str">
        <f>IFERROR(IF(데이터입력!$AE$2="추경",VLOOKUP($N97,데이터입력!$A:$H,5,FALSE),""),"")</f>
        <v/>
      </c>
      <c r="T97" s="618" t="str">
        <f>IFERROR(IF(데이터입력!$AE$2="추경",VLOOKUP($N97,데이터입력!$A:$H,6,FALSE),""),"")</f>
        <v/>
      </c>
      <c r="U97" s="619" t="str">
        <f>IFERROR(IF(데이터입력!$AE$2="추경",VLOOKUP($N97,데이터입력!$A:$L,8,FALSE)+VLOOKUP($N97,데이터입력!$A:$L,9,FALSE)+VLOOKUP($N97,데이터입력!$A:$L,10,FALSE),""),"")</f>
        <v/>
      </c>
      <c r="V97" s="620" t="s">
        <v>135</v>
      </c>
      <c r="W97" s="620" t="s">
        <v>135</v>
      </c>
      <c r="X97" s="620" t="s">
        <v>135</v>
      </c>
      <c r="Y97" s="601"/>
      <c r="Z97" s="182" t="str">
        <f>데이터입력!$AB$8</f>
        <v>00</v>
      </c>
      <c r="AA97" s="185" t="str">
        <f>데이터입력!$AC$9</f>
        <v>일반사업[일반]</v>
      </c>
      <c r="AB97" s="183" t="str">
        <f>IFERROR(IF(데이터입력!$AE$2="추경",VLOOKUP($A97,#REF!,4,FALSE),""),"")</f>
        <v/>
      </c>
      <c r="AC97" s="183" t="str">
        <f>IFERROR(IF(데이터입력!$AE$2="추경",VLOOKUP($A97,#REF!,5,FALSE),""),"")</f>
        <v/>
      </c>
      <c r="AD97" s="183" t="str">
        <f>IFERROR(IF(데이터입력!$AE$2="추경",VLOOKUP($A97,#REF!,6,FALSE),""),"")</f>
        <v/>
      </c>
      <c r="AE97" s="183" t="str">
        <f>IFERROR(IF(데이터입력!$AE$2="추경",VLOOKUP($A97,#REF!,7,FALSE),""),"")</f>
        <v/>
      </c>
      <c r="AF97" s="183"/>
      <c r="AG97" s="184" t="str">
        <f>IFERROR(IF(데이터입력!$AE$2="추경",VLOOKUP($A97,#REF!,9,FALSE),""),"")</f>
        <v/>
      </c>
      <c r="AH97" s="184" t="str">
        <f>IFERROR(IF(데이터입력!$AE$2="추경",VLOOKUP($A97,#REF!,10,FALSE),""),"")</f>
        <v/>
      </c>
      <c r="AI97" s="184" t="str">
        <f>IFERROR(IF(데이터입력!$AE$2="추경",VLOOKUP($A97,#REF!,11,FALSE),""),"")</f>
        <v/>
      </c>
      <c r="AJ97" s="184" t="str">
        <f>IFERROR(IF(데이터입력!$AE$2="추경",VLOOKUP($A97,#REF!,12,FALSE),""),"")</f>
        <v/>
      </c>
      <c r="AK97" s="184" t="str">
        <f>IFERROR(IF(데이터입력!$AE$2="추경",VLOOKUP($A97,#REF!,13,FALSE),""),"")</f>
        <v/>
      </c>
    </row>
    <row r="98" spans="1:37">
      <c r="A98" s="180">
        <v>96</v>
      </c>
      <c r="B98" s="608" t="str">
        <f>IFERROR(IF(F98="06",데이터입력!$AB$8,IF(F98="07",데이터입력!$AD$8,IF(F98="05",데이터입력!$AF$8,데이터입력!$AB$8))),데이터입력!$AB$8)</f>
        <v>00</v>
      </c>
      <c r="C98" s="609" t="str">
        <f>데이터입력!$AC$9</f>
        <v>일반사업[일반]</v>
      </c>
      <c r="D98" s="610" t="str">
        <f>IFERROR(IF(AND(데이터입력!$AE$2="추경",데이터입력!$AM$2=TRUE),VLOOKUP($A98,데이터입력!$A:$H,4,FALSE),""),"")</f>
        <v/>
      </c>
      <c r="E98" s="610" t="str">
        <f>IFERROR(IF(AND(데이터입력!$AE$2="추경",데이터입력!$AM$2=TRUE),VLOOKUP($A98,데이터입력!$A:$H,2,FALSE),""),"")</f>
        <v/>
      </c>
      <c r="F98" s="610" t="str">
        <f>IFERROR(IF(AND(데이터입력!$AE$2="추경",데이터입력!$AM$2=TRUE),VLOOKUP($A98,데이터입력!$A:$H,5,FALSE),""),"")</f>
        <v/>
      </c>
      <c r="G98" s="610" t="str">
        <f>IFERROR(IF(AND(데이터입력!$AE$2="추경",데이터입력!$AM$2=TRUE),VLOOKUP($A98,데이터입력!$A:$H,6,FALSE),""),"")</f>
        <v/>
      </c>
      <c r="H98" s="611" t="str">
        <f>IFERROR(IF(AND(데이터입력!$AE$2="추경",데이터입력!$AM$2=TRUE),VLOOKUP($A98,데이터입력!$A:$L,7,FALSE),""),"")</f>
        <v/>
      </c>
      <c r="I98" s="611" t="str">
        <f>IFERROR(IF(AND(데이터입력!$AE$2="추경",데이터입력!$AM$2=TRUE),VLOOKUP($A98,데이터입력!$A:$L,8,FALSE)+VLOOKUP($A98,데이터입력!$A:$L,9,FALSE)+VLOOKUP($A98,데이터입력!$A:$L,10,FALSE),""),"")</f>
        <v/>
      </c>
      <c r="J98" s="612" t="s">
        <v>135</v>
      </c>
      <c r="K98" s="612" t="s">
        <v>135</v>
      </c>
      <c r="L98" s="612" t="s">
        <v>135</v>
      </c>
      <c r="M98" s="604"/>
      <c r="N98" s="180">
        <v>296</v>
      </c>
      <c r="O98" s="616" t="str">
        <f>IFERROR(IF(S98="06",데이터입력!$AB$8,IF(S98="07",데이터입력!$AD$8,IF(S98="05",데이터입력!$AF$8,데이터입력!$AB$8))),데이터입력!$AB$8)</f>
        <v>00</v>
      </c>
      <c r="P98" s="617" t="str">
        <f>데이터입력!$AC$9</f>
        <v>일반사업[일반]</v>
      </c>
      <c r="Q98" s="618" t="str">
        <f>IFERROR(IF(데이터입력!$AE$2="추경",VLOOKUP($N98,데이터입력!$A:$H,4,FALSE),""),"")</f>
        <v/>
      </c>
      <c r="R98" s="618" t="str">
        <f>IFERROR(IF(데이터입력!$AE$2="추경",VLOOKUP($N98,데이터입력!$A:$H,2,FALSE),""),"")</f>
        <v/>
      </c>
      <c r="S98" s="618" t="str">
        <f>IFERROR(IF(데이터입력!$AE$2="추경",VLOOKUP($N98,데이터입력!$A:$H,5,FALSE),""),"")</f>
        <v/>
      </c>
      <c r="T98" s="618" t="str">
        <f>IFERROR(IF(데이터입력!$AE$2="추경",VLOOKUP($N98,데이터입력!$A:$H,6,FALSE),""),"")</f>
        <v/>
      </c>
      <c r="U98" s="619" t="str">
        <f>IFERROR(IF(데이터입력!$AE$2="추경",VLOOKUP($N98,데이터입력!$A:$L,8,FALSE)+VLOOKUP($N98,데이터입력!$A:$L,9,FALSE)+VLOOKUP($N98,데이터입력!$A:$L,10,FALSE),""),"")</f>
        <v/>
      </c>
      <c r="V98" s="620" t="s">
        <v>135</v>
      </c>
      <c r="W98" s="620" t="s">
        <v>135</v>
      </c>
      <c r="X98" s="620" t="s">
        <v>135</v>
      </c>
      <c r="Y98" s="601"/>
      <c r="Z98" s="182" t="str">
        <f>데이터입력!$AB$8</f>
        <v>00</v>
      </c>
      <c r="AA98" s="185" t="str">
        <f>데이터입력!$AC$9</f>
        <v>일반사업[일반]</v>
      </c>
      <c r="AB98" s="183" t="str">
        <f>IFERROR(IF(데이터입력!$AE$2="추경",VLOOKUP($A98,#REF!,4,FALSE),""),"")</f>
        <v/>
      </c>
      <c r="AC98" s="183" t="str">
        <f>IFERROR(IF(데이터입력!$AE$2="추경",VLOOKUP($A98,#REF!,5,FALSE),""),"")</f>
        <v/>
      </c>
      <c r="AD98" s="183" t="str">
        <f>IFERROR(IF(데이터입력!$AE$2="추경",VLOOKUP($A98,#REF!,6,FALSE),""),"")</f>
        <v/>
      </c>
      <c r="AE98" s="183" t="str">
        <f>IFERROR(IF(데이터입력!$AE$2="추경",VLOOKUP($A98,#REF!,7,FALSE),""),"")</f>
        <v/>
      </c>
      <c r="AF98" s="183"/>
      <c r="AG98" s="184" t="str">
        <f>IFERROR(IF(데이터입력!$AE$2="추경",VLOOKUP($A98,#REF!,9,FALSE),""),"")</f>
        <v/>
      </c>
      <c r="AH98" s="184" t="str">
        <f>IFERROR(IF(데이터입력!$AE$2="추경",VLOOKUP($A98,#REF!,10,FALSE),""),"")</f>
        <v/>
      </c>
      <c r="AI98" s="184" t="str">
        <f>IFERROR(IF(데이터입력!$AE$2="추경",VLOOKUP($A98,#REF!,11,FALSE),""),"")</f>
        <v/>
      </c>
      <c r="AJ98" s="184" t="str">
        <f>IFERROR(IF(데이터입력!$AE$2="추경",VLOOKUP($A98,#REF!,12,FALSE),""),"")</f>
        <v/>
      </c>
      <c r="AK98" s="184" t="str">
        <f>IFERROR(IF(데이터입력!$AE$2="추경",VLOOKUP($A98,#REF!,13,FALSE),""),"")</f>
        <v/>
      </c>
    </row>
    <row r="99" spans="1:37">
      <c r="A99" s="180">
        <v>97</v>
      </c>
      <c r="B99" s="608" t="str">
        <f>IFERROR(IF(F99="06",데이터입력!$AB$8,IF(F99="07",데이터입력!$AD$8,IF(F99="05",데이터입력!$AF$8,데이터입력!$AB$8))),데이터입력!$AB$8)</f>
        <v>00</v>
      </c>
      <c r="C99" s="609" t="str">
        <f>데이터입력!$AC$9</f>
        <v>일반사업[일반]</v>
      </c>
      <c r="D99" s="610" t="str">
        <f>IFERROR(IF(AND(데이터입력!$AE$2="추경",데이터입력!$AM$2=TRUE),VLOOKUP($A99,데이터입력!$A:$H,4,FALSE),""),"")</f>
        <v/>
      </c>
      <c r="E99" s="610" t="str">
        <f>IFERROR(IF(AND(데이터입력!$AE$2="추경",데이터입력!$AM$2=TRUE),VLOOKUP($A99,데이터입력!$A:$H,2,FALSE),""),"")</f>
        <v/>
      </c>
      <c r="F99" s="610" t="str">
        <f>IFERROR(IF(AND(데이터입력!$AE$2="추경",데이터입력!$AM$2=TRUE),VLOOKUP($A99,데이터입력!$A:$H,5,FALSE),""),"")</f>
        <v/>
      </c>
      <c r="G99" s="610" t="str">
        <f>IFERROR(IF(AND(데이터입력!$AE$2="추경",데이터입력!$AM$2=TRUE),VLOOKUP($A99,데이터입력!$A:$H,6,FALSE),""),"")</f>
        <v/>
      </c>
      <c r="H99" s="611" t="str">
        <f>IFERROR(IF(AND(데이터입력!$AE$2="추경",데이터입력!$AM$2=TRUE),VLOOKUP($A99,데이터입력!$A:$L,7,FALSE),""),"")</f>
        <v/>
      </c>
      <c r="I99" s="611" t="str">
        <f>IFERROR(IF(AND(데이터입력!$AE$2="추경",데이터입력!$AM$2=TRUE),VLOOKUP($A99,데이터입력!$A:$L,8,FALSE)+VLOOKUP($A99,데이터입력!$A:$L,9,FALSE)+VLOOKUP($A99,데이터입력!$A:$L,10,FALSE),""),"")</f>
        <v/>
      </c>
      <c r="J99" s="612" t="s">
        <v>135</v>
      </c>
      <c r="K99" s="612" t="s">
        <v>135</v>
      </c>
      <c r="L99" s="612" t="s">
        <v>135</v>
      </c>
      <c r="M99" s="604"/>
      <c r="N99" s="180">
        <v>297</v>
      </c>
      <c r="O99" s="616" t="str">
        <f>IFERROR(IF(S99="06",데이터입력!$AB$8,IF(S99="07",데이터입력!$AD$8,IF(S99="05",데이터입력!$AF$8,데이터입력!$AB$8))),데이터입력!$AB$8)</f>
        <v>00</v>
      </c>
      <c r="P99" s="617" t="str">
        <f>데이터입력!$AC$9</f>
        <v>일반사업[일반]</v>
      </c>
      <c r="Q99" s="618" t="str">
        <f>IFERROR(IF(데이터입력!$AE$2="추경",VLOOKUP($N99,데이터입력!$A:$H,4,FALSE),""),"")</f>
        <v/>
      </c>
      <c r="R99" s="618" t="str">
        <f>IFERROR(IF(데이터입력!$AE$2="추경",VLOOKUP($N99,데이터입력!$A:$H,2,FALSE),""),"")</f>
        <v/>
      </c>
      <c r="S99" s="618" t="str">
        <f>IFERROR(IF(데이터입력!$AE$2="추경",VLOOKUP($N99,데이터입력!$A:$H,5,FALSE),""),"")</f>
        <v/>
      </c>
      <c r="T99" s="618" t="str">
        <f>IFERROR(IF(데이터입력!$AE$2="추경",VLOOKUP($N99,데이터입력!$A:$H,6,FALSE),""),"")</f>
        <v/>
      </c>
      <c r="U99" s="619" t="str">
        <f>IFERROR(IF(데이터입력!$AE$2="추경",VLOOKUP($N99,데이터입력!$A:$L,8,FALSE)+VLOOKUP($N99,데이터입력!$A:$L,9,FALSE)+VLOOKUP($N99,데이터입력!$A:$L,10,FALSE),""),"")</f>
        <v/>
      </c>
      <c r="V99" s="620" t="s">
        <v>135</v>
      </c>
      <c r="W99" s="620" t="s">
        <v>135</v>
      </c>
      <c r="X99" s="620" t="s">
        <v>135</v>
      </c>
      <c r="Y99" s="601"/>
      <c r="Z99" s="182" t="str">
        <f>데이터입력!$AB$8</f>
        <v>00</v>
      </c>
      <c r="AA99" s="185" t="str">
        <f>데이터입력!$AC$9</f>
        <v>일반사업[일반]</v>
      </c>
      <c r="AB99" s="183" t="str">
        <f>IFERROR(IF(데이터입력!$AE$2="추경",VLOOKUP($A99,#REF!,4,FALSE),""),"")</f>
        <v/>
      </c>
      <c r="AC99" s="183" t="str">
        <f>IFERROR(IF(데이터입력!$AE$2="추경",VLOOKUP($A99,#REF!,5,FALSE),""),"")</f>
        <v/>
      </c>
      <c r="AD99" s="183" t="str">
        <f>IFERROR(IF(데이터입력!$AE$2="추경",VLOOKUP($A99,#REF!,6,FALSE),""),"")</f>
        <v/>
      </c>
      <c r="AE99" s="183" t="str">
        <f>IFERROR(IF(데이터입력!$AE$2="추경",VLOOKUP($A99,#REF!,7,FALSE),""),"")</f>
        <v/>
      </c>
      <c r="AF99" s="183"/>
      <c r="AG99" s="184" t="str">
        <f>IFERROR(IF(데이터입력!$AE$2="추경",VLOOKUP($A99,#REF!,9,FALSE),""),"")</f>
        <v/>
      </c>
      <c r="AH99" s="184" t="str">
        <f>IFERROR(IF(데이터입력!$AE$2="추경",VLOOKUP($A99,#REF!,10,FALSE),""),"")</f>
        <v/>
      </c>
      <c r="AI99" s="184" t="str">
        <f>IFERROR(IF(데이터입력!$AE$2="추경",VLOOKUP($A99,#REF!,11,FALSE),""),"")</f>
        <v/>
      </c>
      <c r="AJ99" s="184" t="str">
        <f>IFERROR(IF(데이터입력!$AE$2="추경",VLOOKUP($A99,#REF!,12,FALSE),""),"")</f>
        <v/>
      </c>
      <c r="AK99" s="184" t="str">
        <f>IFERROR(IF(데이터입력!$AE$2="추경",VLOOKUP($A99,#REF!,13,FALSE),""),"")</f>
        <v/>
      </c>
    </row>
    <row r="100" spans="1:37">
      <c r="A100" s="180">
        <v>98</v>
      </c>
      <c r="B100" s="608" t="str">
        <f>IFERROR(IF(F100="06",데이터입력!$AB$8,IF(F100="07",데이터입력!$AD$8,IF(F100="05",데이터입력!$AF$8,데이터입력!$AB$8))),데이터입력!$AB$8)</f>
        <v>00</v>
      </c>
      <c r="C100" s="609" t="str">
        <f>데이터입력!$AC$9</f>
        <v>일반사업[일반]</v>
      </c>
      <c r="D100" s="610" t="str">
        <f>IFERROR(IF(AND(데이터입력!$AE$2="추경",데이터입력!$AM$2=TRUE),VLOOKUP($A100,데이터입력!$A:$H,4,FALSE),""),"")</f>
        <v/>
      </c>
      <c r="E100" s="610" t="str">
        <f>IFERROR(IF(AND(데이터입력!$AE$2="추경",데이터입력!$AM$2=TRUE),VLOOKUP($A100,데이터입력!$A:$H,2,FALSE),""),"")</f>
        <v/>
      </c>
      <c r="F100" s="610" t="str">
        <f>IFERROR(IF(AND(데이터입력!$AE$2="추경",데이터입력!$AM$2=TRUE),VLOOKUP($A100,데이터입력!$A:$H,5,FALSE),""),"")</f>
        <v/>
      </c>
      <c r="G100" s="610" t="str">
        <f>IFERROR(IF(AND(데이터입력!$AE$2="추경",데이터입력!$AM$2=TRUE),VLOOKUP($A100,데이터입력!$A:$H,6,FALSE),""),"")</f>
        <v/>
      </c>
      <c r="H100" s="611" t="str">
        <f>IFERROR(IF(AND(데이터입력!$AE$2="추경",데이터입력!$AM$2=TRUE),VLOOKUP($A100,데이터입력!$A:$L,7,FALSE),""),"")</f>
        <v/>
      </c>
      <c r="I100" s="611" t="str">
        <f>IFERROR(IF(AND(데이터입력!$AE$2="추경",데이터입력!$AM$2=TRUE),VLOOKUP($A100,데이터입력!$A:$L,8,FALSE)+VLOOKUP($A100,데이터입력!$A:$L,9,FALSE)+VLOOKUP($A100,데이터입력!$A:$L,10,FALSE),""),"")</f>
        <v/>
      </c>
      <c r="J100" s="612" t="s">
        <v>135</v>
      </c>
      <c r="K100" s="612" t="s">
        <v>135</v>
      </c>
      <c r="L100" s="612" t="s">
        <v>135</v>
      </c>
      <c r="M100" s="604"/>
      <c r="N100" s="180">
        <v>298</v>
      </c>
      <c r="O100" s="616" t="str">
        <f>IFERROR(IF(S100="06",데이터입력!$AB$8,IF(S100="07",데이터입력!$AD$8,IF(S100="05",데이터입력!$AF$8,데이터입력!$AB$8))),데이터입력!$AB$8)</f>
        <v>00</v>
      </c>
      <c r="P100" s="617" t="str">
        <f>데이터입력!$AC$9</f>
        <v>일반사업[일반]</v>
      </c>
      <c r="Q100" s="618" t="str">
        <f>IFERROR(IF(데이터입력!$AE$2="추경",VLOOKUP($N100,데이터입력!$A:$H,4,FALSE),""),"")</f>
        <v/>
      </c>
      <c r="R100" s="618" t="str">
        <f>IFERROR(IF(데이터입력!$AE$2="추경",VLOOKUP($N100,데이터입력!$A:$H,2,FALSE),""),"")</f>
        <v/>
      </c>
      <c r="S100" s="618" t="str">
        <f>IFERROR(IF(데이터입력!$AE$2="추경",VLOOKUP($N100,데이터입력!$A:$H,5,FALSE),""),"")</f>
        <v/>
      </c>
      <c r="T100" s="618" t="str">
        <f>IFERROR(IF(데이터입력!$AE$2="추경",VLOOKUP($N100,데이터입력!$A:$H,6,FALSE),""),"")</f>
        <v/>
      </c>
      <c r="U100" s="619" t="str">
        <f>IFERROR(IF(데이터입력!$AE$2="추경",VLOOKUP($N100,데이터입력!$A:$L,8,FALSE)+VLOOKUP($N100,데이터입력!$A:$L,9,FALSE)+VLOOKUP($N100,데이터입력!$A:$L,10,FALSE),""),"")</f>
        <v/>
      </c>
      <c r="V100" s="620" t="s">
        <v>135</v>
      </c>
      <c r="W100" s="620" t="s">
        <v>135</v>
      </c>
      <c r="X100" s="620" t="s">
        <v>135</v>
      </c>
      <c r="Y100" s="601"/>
      <c r="Z100" s="182" t="str">
        <f>데이터입력!$AB$8</f>
        <v>00</v>
      </c>
      <c r="AA100" s="185" t="str">
        <f>데이터입력!$AC$9</f>
        <v>일반사업[일반]</v>
      </c>
      <c r="AB100" s="183" t="str">
        <f>IFERROR(IF(데이터입력!$AE$2="추경",VLOOKUP($A100,#REF!,4,FALSE),""),"")</f>
        <v/>
      </c>
      <c r="AC100" s="183" t="str">
        <f>IFERROR(IF(데이터입력!$AE$2="추경",VLOOKUP($A100,#REF!,5,FALSE),""),"")</f>
        <v/>
      </c>
      <c r="AD100" s="183" t="str">
        <f>IFERROR(IF(데이터입력!$AE$2="추경",VLOOKUP($A100,#REF!,6,FALSE),""),"")</f>
        <v/>
      </c>
      <c r="AE100" s="183" t="str">
        <f>IFERROR(IF(데이터입력!$AE$2="추경",VLOOKUP($A100,#REF!,7,FALSE),""),"")</f>
        <v/>
      </c>
      <c r="AF100" s="183"/>
      <c r="AG100" s="184" t="str">
        <f>IFERROR(IF(데이터입력!$AE$2="추경",VLOOKUP($A100,#REF!,9,FALSE),""),"")</f>
        <v/>
      </c>
      <c r="AH100" s="184" t="str">
        <f>IFERROR(IF(데이터입력!$AE$2="추경",VLOOKUP($A100,#REF!,10,FALSE),""),"")</f>
        <v/>
      </c>
      <c r="AI100" s="184" t="str">
        <f>IFERROR(IF(데이터입력!$AE$2="추경",VLOOKUP($A100,#REF!,11,FALSE),""),"")</f>
        <v/>
      </c>
      <c r="AJ100" s="184" t="str">
        <f>IFERROR(IF(데이터입력!$AE$2="추경",VLOOKUP($A100,#REF!,12,FALSE),""),"")</f>
        <v/>
      </c>
      <c r="AK100" s="184" t="str">
        <f>IFERROR(IF(데이터입력!$AE$2="추경",VLOOKUP($A100,#REF!,13,FALSE),""),"")</f>
        <v/>
      </c>
    </row>
    <row r="101" spans="1:37">
      <c r="A101" s="180">
        <v>99</v>
      </c>
      <c r="B101" s="608" t="str">
        <f>IFERROR(IF(F101="06",데이터입력!$AB$8,IF(F101="07",데이터입력!$AD$8,IF(F101="05",데이터입력!$AF$8,데이터입력!$AB$8))),데이터입력!$AB$8)</f>
        <v>00</v>
      </c>
      <c r="C101" s="609" t="str">
        <f>데이터입력!$AC$9</f>
        <v>일반사업[일반]</v>
      </c>
      <c r="D101" s="610" t="str">
        <f>IFERROR(IF(AND(데이터입력!$AE$2="추경",데이터입력!$AM$2=TRUE),VLOOKUP($A101,데이터입력!$A:$H,4,FALSE),""),"")</f>
        <v/>
      </c>
      <c r="E101" s="610" t="str">
        <f>IFERROR(IF(AND(데이터입력!$AE$2="추경",데이터입력!$AM$2=TRUE),VLOOKUP($A101,데이터입력!$A:$H,2,FALSE),""),"")</f>
        <v/>
      </c>
      <c r="F101" s="610" t="str">
        <f>IFERROR(IF(AND(데이터입력!$AE$2="추경",데이터입력!$AM$2=TRUE),VLOOKUP($A101,데이터입력!$A:$H,5,FALSE),""),"")</f>
        <v/>
      </c>
      <c r="G101" s="610" t="str">
        <f>IFERROR(IF(AND(데이터입력!$AE$2="추경",데이터입력!$AM$2=TRUE),VLOOKUP($A101,데이터입력!$A:$H,6,FALSE),""),"")</f>
        <v/>
      </c>
      <c r="H101" s="611" t="str">
        <f>IFERROR(IF(AND(데이터입력!$AE$2="추경",데이터입력!$AM$2=TRUE),VLOOKUP($A101,데이터입력!$A:$L,7,FALSE),""),"")</f>
        <v/>
      </c>
      <c r="I101" s="611" t="str">
        <f>IFERROR(IF(AND(데이터입력!$AE$2="추경",데이터입력!$AM$2=TRUE),VLOOKUP($A101,데이터입력!$A:$L,8,FALSE)+VLOOKUP($A101,데이터입력!$A:$L,9,FALSE)+VLOOKUP($A101,데이터입력!$A:$L,10,FALSE),""),"")</f>
        <v/>
      </c>
      <c r="J101" s="612" t="s">
        <v>135</v>
      </c>
      <c r="K101" s="612" t="s">
        <v>135</v>
      </c>
      <c r="L101" s="612" t="s">
        <v>135</v>
      </c>
      <c r="M101" s="604"/>
      <c r="N101" s="180">
        <v>299</v>
      </c>
      <c r="O101" s="616" t="str">
        <f>IFERROR(IF(S101="06",데이터입력!$AB$8,IF(S101="07",데이터입력!$AD$8,IF(S101="05",데이터입력!$AF$8,데이터입력!$AB$8))),데이터입력!$AB$8)</f>
        <v>00</v>
      </c>
      <c r="P101" s="617" t="str">
        <f>데이터입력!$AC$9</f>
        <v>일반사업[일반]</v>
      </c>
      <c r="Q101" s="618" t="str">
        <f>IFERROR(IF(데이터입력!$AE$2="추경",VLOOKUP($N101,데이터입력!$A:$H,4,FALSE),""),"")</f>
        <v/>
      </c>
      <c r="R101" s="618" t="str">
        <f>IFERROR(IF(데이터입력!$AE$2="추경",VLOOKUP($N101,데이터입력!$A:$H,2,FALSE),""),"")</f>
        <v/>
      </c>
      <c r="S101" s="618" t="str">
        <f>IFERROR(IF(데이터입력!$AE$2="추경",VLOOKUP($N101,데이터입력!$A:$H,5,FALSE),""),"")</f>
        <v/>
      </c>
      <c r="T101" s="618" t="str">
        <f>IFERROR(IF(데이터입력!$AE$2="추경",VLOOKUP($N101,데이터입력!$A:$H,6,FALSE),""),"")</f>
        <v/>
      </c>
      <c r="U101" s="619" t="str">
        <f>IFERROR(IF(데이터입력!$AE$2="추경",VLOOKUP($N101,데이터입력!$A:$L,8,FALSE)+VLOOKUP($N101,데이터입력!$A:$L,9,FALSE)+VLOOKUP($N101,데이터입력!$A:$L,10,FALSE),""),"")</f>
        <v/>
      </c>
      <c r="V101" s="620" t="s">
        <v>135</v>
      </c>
      <c r="W101" s="620" t="s">
        <v>135</v>
      </c>
      <c r="X101" s="620" t="s">
        <v>135</v>
      </c>
      <c r="Y101" s="601"/>
      <c r="Z101" s="182" t="str">
        <f>데이터입력!$AB$8</f>
        <v>00</v>
      </c>
      <c r="AA101" s="185" t="str">
        <f>데이터입력!$AC$9</f>
        <v>일반사업[일반]</v>
      </c>
      <c r="AB101" s="183" t="str">
        <f>IFERROR(IF(데이터입력!$AE$2="추경",VLOOKUP($A101,#REF!,4,FALSE),""),"")</f>
        <v/>
      </c>
      <c r="AC101" s="183" t="str">
        <f>IFERROR(IF(데이터입력!$AE$2="추경",VLOOKUP($A101,#REF!,5,FALSE),""),"")</f>
        <v/>
      </c>
      <c r="AD101" s="183" t="str">
        <f>IFERROR(IF(데이터입력!$AE$2="추경",VLOOKUP($A101,#REF!,6,FALSE),""),"")</f>
        <v/>
      </c>
      <c r="AE101" s="183" t="str">
        <f>IFERROR(IF(데이터입력!$AE$2="추경",VLOOKUP($A101,#REF!,7,FALSE),""),"")</f>
        <v/>
      </c>
      <c r="AF101" s="183"/>
      <c r="AG101" s="184" t="str">
        <f>IFERROR(IF(데이터입력!$AE$2="추경",VLOOKUP($A101,#REF!,9,FALSE),""),"")</f>
        <v/>
      </c>
      <c r="AH101" s="184" t="str">
        <f>IFERROR(IF(데이터입력!$AE$2="추경",VLOOKUP($A101,#REF!,10,FALSE),""),"")</f>
        <v/>
      </c>
      <c r="AI101" s="184" t="str">
        <f>IFERROR(IF(데이터입력!$AE$2="추경",VLOOKUP($A101,#REF!,11,FALSE),""),"")</f>
        <v/>
      </c>
      <c r="AJ101" s="184" t="str">
        <f>IFERROR(IF(데이터입력!$AE$2="추경",VLOOKUP($A101,#REF!,12,FALSE),""),"")</f>
        <v/>
      </c>
      <c r="AK101" s="184" t="str">
        <f>IFERROR(IF(데이터입력!$AE$2="추경",VLOOKUP($A101,#REF!,13,FALSE),""),"")</f>
        <v/>
      </c>
    </row>
    <row r="102" spans="1:37">
      <c r="A102" s="180">
        <v>100</v>
      </c>
      <c r="B102" s="608" t="str">
        <f>IFERROR(IF(F102="06",데이터입력!$AB$8,IF(F102="07",데이터입력!$AD$8,IF(F102="05",데이터입력!$AF$8,데이터입력!$AB$8))),데이터입력!$AB$8)</f>
        <v>00</v>
      </c>
      <c r="C102" s="609" t="str">
        <f>데이터입력!$AC$9</f>
        <v>일반사업[일반]</v>
      </c>
      <c r="D102" s="610" t="str">
        <f>IFERROR(IF(AND(데이터입력!$AE$2="추경",데이터입력!$AM$2=TRUE),VLOOKUP($A102,데이터입력!$A:$H,4,FALSE),""),"")</f>
        <v/>
      </c>
      <c r="E102" s="610" t="str">
        <f>IFERROR(IF(AND(데이터입력!$AE$2="추경",데이터입력!$AM$2=TRUE),VLOOKUP($A102,데이터입력!$A:$H,2,FALSE),""),"")</f>
        <v/>
      </c>
      <c r="F102" s="610" t="str">
        <f>IFERROR(IF(AND(데이터입력!$AE$2="추경",데이터입력!$AM$2=TRUE),VLOOKUP($A102,데이터입력!$A:$H,5,FALSE),""),"")</f>
        <v/>
      </c>
      <c r="G102" s="610" t="str">
        <f>IFERROR(IF(AND(데이터입력!$AE$2="추경",데이터입력!$AM$2=TRUE),VLOOKUP($A102,데이터입력!$A:$H,6,FALSE),""),"")</f>
        <v/>
      </c>
      <c r="H102" s="611" t="str">
        <f>IFERROR(IF(AND(데이터입력!$AE$2="추경",데이터입력!$AM$2=TRUE),VLOOKUP($A102,데이터입력!$A:$L,7,FALSE),""),"")</f>
        <v/>
      </c>
      <c r="I102" s="611" t="str">
        <f>IFERROR(IF(AND(데이터입력!$AE$2="추경",데이터입력!$AM$2=TRUE),VLOOKUP($A102,데이터입력!$A:$L,8,FALSE)+VLOOKUP($A102,데이터입력!$A:$L,9,FALSE)+VLOOKUP($A102,데이터입력!$A:$L,10,FALSE),""),"")</f>
        <v/>
      </c>
      <c r="J102" s="612" t="s">
        <v>135</v>
      </c>
      <c r="K102" s="612" t="s">
        <v>135</v>
      </c>
      <c r="L102" s="612" t="s">
        <v>135</v>
      </c>
      <c r="M102" s="604"/>
      <c r="N102" s="180">
        <v>300</v>
      </c>
      <c r="O102" s="616" t="str">
        <f>IFERROR(IF(S102="06",데이터입력!$AB$8,IF(S102="07",데이터입력!$AD$8,IF(S102="05",데이터입력!$AF$8,데이터입력!$AB$8))),데이터입력!$AB$8)</f>
        <v>00</v>
      </c>
      <c r="P102" s="617" t="str">
        <f>데이터입력!$AC$9</f>
        <v>일반사업[일반]</v>
      </c>
      <c r="Q102" s="618" t="str">
        <f>IFERROR(IF(데이터입력!$AE$2="추경",VLOOKUP($N102,데이터입력!$A:$H,4,FALSE),""),"")</f>
        <v/>
      </c>
      <c r="R102" s="618" t="str">
        <f>IFERROR(IF(데이터입력!$AE$2="추경",VLOOKUP($N102,데이터입력!$A:$H,2,FALSE),""),"")</f>
        <v/>
      </c>
      <c r="S102" s="618" t="str">
        <f>IFERROR(IF(데이터입력!$AE$2="추경",VLOOKUP($N102,데이터입력!$A:$H,5,FALSE),""),"")</f>
        <v/>
      </c>
      <c r="T102" s="618" t="str">
        <f>IFERROR(IF(데이터입력!$AE$2="추경",VLOOKUP($N102,데이터입력!$A:$H,6,FALSE),""),"")</f>
        <v/>
      </c>
      <c r="U102" s="619" t="str">
        <f>IFERROR(IF(데이터입력!$AE$2="추경",VLOOKUP($N102,데이터입력!$A:$L,8,FALSE)+VLOOKUP($N102,데이터입력!$A:$L,9,FALSE)+VLOOKUP($N102,데이터입력!$A:$L,10,FALSE),""),"")</f>
        <v/>
      </c>
      <c r="V102" s="620" t="s">
        <v>135</v>
      </c>
      <c r="W102" s="620" t="s">
        <v>135</v>
      </c>
      <c r="X102" s="620" t="s">
        <v>135</v>
      </c>
      <c r="Y102" s="601"/>
      <c r="Z102" s="182" t="str">
        <f>데이터입력!$AB$8</f>
        <v>00</v>
      </c>
      <c r="AA102" s="185" t="str">
        <f>데이터입력!$AC$9</f>
        <v>일반사업[일반]</v>
      </c>
      <c r="AB102" s="183" t="str">
        <f>IFERROR(IF(데이터입력!$AE$2="추경",VLOOKUP($A102,#REF!,4,FALSE),""),"")</f>
        <v/>
      </c>
      <c r="AC102" s="183" t="str">
        <f>IFERROR(IF(데이터입력!$AE$2="추경",VLOOKUP($A102,#REF!,5,FALSE),""),"")</f>
        <v/>
      </c>
      <c r="AD102" s="183" t="str">
        <f>IFERROR(IF(데이터입력!$AE$2="추경",VLOOKUP($A102,#REF!,6,FALSE),""),"")</f>
        <v/>
      </c>
      <c r="AE102" s="183" t="str">
        <f>IFERROR(IF(데이터입력!$AE$2="추경",VLOOKUP($A102,#REF!,7,FALSE),""),"")</f>
        <v/>
      </c>
      <c r="AF102" s="183"/>
      <c r="AG102" s="184" t="str">
        <f>IFERROR(IF(데이터입력!$AE$2="추경",VLOOKUP($A102,#REF!,9,FALSE),""),"")</f>
        <v/>
      </c>
      <c r="AH102" s="184" t="str">
        <f>IFERROR(IF(데이터입력!$AE$2="추경",VLOOKUP($A102,#REF!,10,FALSE),""),"")</f>
        <v/>
      </c>
      <c r="AI102" s="184" t="str">
        <f>IFERROR(IF(데이터입력!$AE$2="추경",VLOOKUP($A102,#REF!,11,FALSE),""),"")</f>
        <v/>
      </c>
      <c r="AJ102" s="184" t="str">
        <f>IFERROR(IF(데이터입력!$AE$2="추경",VLOOKUP($A102,#REF!,12,FALSE),""),"")</f>
        <v/>
      </c>
      <c r="AK102" s="184" t="str">
        <f>IFERROR(IF(데이터입력!$AE$2="추경",VLOOKUP($A102,#REF!,13,FALSE),""),"")</f>
        <v/>
      </c>
    </row>
    <row r="103" spans="1:37">
      <c r="A103" s="180">
        <v>101</v>
      </c>
      <c r="B103" s="608" t="str">
        <f>IFERROR(IF(F103="06",데이터입력!$AB$8,IF(F103="07",데이터입력!$AD$8,IF(F103="05",데이터입력!$AF$8,데이터입력!$AB$8))),데이터입력!$AB$8)</f>
        <v>00</v>
      </c>
      <c r="C103" s="609" t="str">
        <f>데이터입력!$AC$9</f>
        <v>일반사업[일반]</v>
      </c>
      <c r="D103" s="610" t="str">
        <f>IFERROR(IF(AND(데이터입력!$AE$2="추경",데이터입력!$AM$2=TRUE),VLOOKUP($A103,데이터입력!$A:$H,4,FALSE),""),"")</f>
        <v/>
      </c>
      <c r="E103" s="610" t="str">
        <f>IFERROR(IF(AND(데이터입력!$AE$2="추경",데이터입력!$AM$2=TRUE),VLOOKUP($A103,데이터입력!$A:$H,2,FALSE),""),"")</f>
        <v/>
      </c>
      <c r="F103" s="610" t="str">
        <f>IFERROR(IF(AND(데이터입력!$AE$2="추경",데이터입력!$AM$2=TRUE),VLOOKUP($A103,데이터입력!$A:$H,5,FALSE),""),"")</f>
        <v/>
      </c>
      <c r="G103" s="610" t="str">
        <f>IFERROR(IF(AND(데이터입력!$AE$2="추경",데이터입력!$AM$2=TRUE),VLOOKUP($A103,데이터입력!$A:$H,6,FALSE),""),"")</f>
        <v/>
      </c>
      <c r="H103" s="611" t="str">
        <f>IFERROR(IF(AND(데이터입력!$AE$2="추경",데이터입력!$AM$2=TRUE),VLOOKUP($A103,데이터입력!$A:$L,7,FALSE),""),"")</f>
        <v/>
      </c>
      <c r="I103" s="611" t="str">
        <f>IFERROR(IF(AND(데이터입력!$AE$2="추경",데이터입력!$AM$2=TRUE),VLOOKUP($A103,데이터입력!$A:$L,8,FALSE)+VLOOKUP($A103,데이터입력!$A:$L,9,FALSE)+VLOOKUP($A103,데이터입력!$A:$L,10,FALSE),""),"")</f>
        <v/>
      </c>
      <c r="J103" s="612" t="s">
        <v>135</v>
      </c>
      <c r="K103" s="612" t="s">
        <v>135</v>
      </c>
      <c r="L103" s="612" t="s">
        <v>135</v>
      </c>
      <c r="M103" s="604"/>
      <c r="N103" s="180">
        <v>301</v>
      </c>
      <c r="O103" s="616" t="str">
        <f>IFERROR(IF(S103="06",데이터입력!$AB$8,IF(S103="07",데이터입력!$AD$8,IF(S103="05",데이터입력!$AF$8,데이터입력!$AB$8))),데이터입력!$AB$8)</f>
        <v>00</v>
      </c>
      <c r="P103" s="617" t="str">
        <f>데이터입력!$AC$9</f>
        <v>일반사업[일반]</v>
      </c>
      <c r="Q103" s="618" t="str">
        <f>IFERROR(IF(데이터입력!$AE$2="추경",VLOOKUP($N103,데이터입력!$A:$H,4,FALSE),""),"")</f>
        <v/>
      </c>
      <c r="R103" s="618" t="str">
        <f>IFERROR(IF(데이터입력!$AE$2="추경",VLOOKUP($N103,데이터입력!$A:$H,2,FALSE),""),"")</f>
        <v/>
      </c>
      <c r="S103" s="618" t="str">
        <f>IFERROR(IF(데이터입력!$AE$2="추경",VLOOKUP($N103,데이터입력!$A:$H,5,FALSE),""),"")</f>
        <v/>
      </c>
      <c r="T103" s="618" t="str">
        <f>IFERROR(IF(데이터입력!$AE$2="추경",VLOOKUP($N103,데이터입력!$A:$H,6,FALSE),""),"")</f>
        <v/>
      </c>
      <c r="U103" s="619" t="str">
        <f>IFERROR(IF(데이터입력!$AE$2="추경",VLOOKUP($N103,데이터입력!$A:$L,8,FALSE)+VLOOKUP($N103,데이터입력!$A:$L,9,FALSE)+VLOOKUP($N103,데이터입력!$A:$L,10,FALSE),""),"")</f>
        <v/>
      </c>
      <c r="V103" s="620" t="s">
        <v>135</v>
      </c>
      <c r="W103" s="620" t="s">
        <v>135</v>
      </c>
      <c r="X103" s="620" t="s">
        <v>135</v>
      </c>
      <c r="Y103" s="601"/>
      <c r="Z103" s="182" t="str">
        <f>데이터입력!$AB$8</f>
        <v>00</v>
      </c>
      <c r="AA103" s="185" t="str">
        <f>데이터입력!$AC$9</f>
        <v>일반사업[일반]</v>
      </c>
      <c r="AB103" s="183" t="str">
        <f>IFERROR(IF(데이터입력!$AE$2="추경",VLOOKUP($A103,#REF!,4,FALSE),""),"")</f>
        <v/>
      </c>
      <c r="AC103" s="183" t="str">
        <f>IFERROR(IF(데이터입력!$AE$2="추경",VLOOKUP($A103,#REF!,5,FALSE),""),"")</f>
        <v/>
      </c>
      <c r="AD103" s="183" t="str">
        <f>IFERROR(IF(데이터입력!$AE$2="추경",VLOOKUP($A103,#REF!,6,FALSE),""),"")</f>
        <v/>
      </c>
      <c r="AE103" s="183" t="str">
        <f>IFERROR(IF(데이터입력!$AE$2="추경",VLOOKUP($A103,#REF!,7,FALSE),""),"")</f>
        <v/>
      </c>
      <c r="AF103" s="183"/>
      <c r="AG103" s="184" t="str">
        <f>IFERROR(IF(데이터입력!$AE$2="추경",VLOOKUP($A103,#REF!,9,FALSE),""),"")</f>
        <v/>
      </c>
      <c r="AH103" s="184" t="str">
        <f>IFERROR(IF(데이터입력!$AE$2="추경",VLOOKUP($A103,#REF!,10,FALSE),""),"")</f>
        <v/>
      </c>
      <c r="AI103" s="184" t="str">
        <f>IFERROR(IF(데이터입력!$AE$2="추경",VLOOKUP($A103,#REF!,11,FALSE),""),"")</f>
        <v/>
      </c>
      <c r="AJ103" s="184" t="str">
        <f>IFERROR(IF(데이터입력!$AE$2="추경",VLOOKUP($A103,#REF!,12,FALSE),""),"")</f>
        <v/>
      </c>
      <c r="AK103" s="184" t="str">
        <f>IFERROR(IF(데이터입력!$AE$2="추경",VLOOKUP($A103,#REF!,13,FALSE),""),"")</f>
        <v/>
      </c>
    </row>
    <row r="104" spans="1:37">
      <c r="A104" s="180">
        <v>102</v>
      </c>
      <c r="B104" s="608" t="str">
        <f>IFERROR(IF(F104="06",데이터입력!$AB$8,IF(F104="07",데이터입력!$AD$8,IF(F104="05",데이터입력!$AF$8,데이터입력!$AB$8))),데이터입력!$AB$8)</f>
        <v>00</v>
      </c>
      <c r="C104" s="609" t="str">
        <f>데이터입력!$AC$9</f>
        <v>일반사업[일반]</v>
      </c>
      <c r="D104" s="610" t="str">
        <f>IFERROR(IF(AND(데이터입력!$AE$2="추경",데이터입력!$AM$2=TRUE),VLOOKUP($A104,데이터입력!$A:$H,4,FALSE),""),"")</f>
        <v/>
      </c>
      <c r="E104" s="610" t="str">
        <f>IFERROR(IF(AND(데이터입력!$AE$2="추경",데이터입력!$AM$2=TRUE),VLOOKUP($A104,데이터입력!$A:$H,2,FALSE),""),"")</f>
        <v/>
      </c>
      <c r="F104" s="610" t="str">
        <f>IFERROR(IF(AND(데이터입력!$AE$2="추경",데이터입력!$AM$2=TRUE),VLOOKUP($A104,데이터입력!$A:$H,5,FALSE),""),"")</f>
        <v/>
      </c>
      <c r="G104" s="610" t="str">
        <f>IFERROR(IF(AND(데이터입력!$AE$2="추경",데이터입력!$AM$2=TRUE),VLOOKUP($A104,데이터입력!$A:$H,6,FALSE),""),"")</f>
        <v/>
      </c>
      <c r="H104" s="611" t="str">
        <f>IFERROR(IF(AND(데이터입력!$AE$2="추경",데이터입력!$AM$2=TRUE),VLOOKUP($A104,데이터입력!$A:$L,7,FALSE),""),"")</f>
        <v/>
      </c>
      <c r="I104" s="611" t="str">
        <f>IFERROR(IF(AND(데이터입력!$AE$2="추경",데이터입력!$AM$2=TRUE),VLOOKUP($A104,데이터입력!$A:$L,8,FALSE)+VLOOKUP($A104,데이터입력!$A:$L,9,FALSE)+VLOOKUP($A104,데이터입력!$A:$L,10,FALSE),""),"")</f>
        <v/>
      </c>
      <c r="J104" s="612" t="s">
        <v>135</v>
      </c>
      <c r="K104" s="612" t="s">
        <v>135</v>
      </c>
      <c r="L104" s="612" t="s">
        <v>135</v>
      </c>
      <c r="M104" s="604"/>
      <c r="N104" s="180">
        <v>302</v>
      </c>
      <c r="O104" s="616" t="str">
        <f>IFERROR(IF(S104="06",데이터입력!$AB$8,IF(S104="07",데이터입력!$AD$8,IF(S104="05",데이터입력!$AF$8,데이터입력!$AB$8))),데이터입력!$AB$8)</f>
        <v>00</v>
      </c>
      <c r="P104" s="617" t="str">
        <f>데이터입력!$AC$9</f>
        <v>일반사업[일반]</v>
      </c>
      <c r="Q104" s="618" t="str">
        <f>IFERROR(IF(데이터입력!$AE$2="추경",VLOOKUP($N104,데이터입력!$A:$H,4,FALSE),""),"")</f>
        <v/>
      </c>
      <c r="R104" s="618" t="str">
        <f>IFERROR(IF(데이터입력!$AE$2="추경",VLOOKUP($N104,데이터입력!$A:$H,2,FALSE),""),"")</f>
        <v/>
      </c>
      <c r="S104" s="618" t="str">
        <f>IFERROR(IF(데이터입력!$AE$2="추경",VLOOKUP($N104,데이터입력!$A:$H,5,FALSE),""),"")</f>
        <v/>
      </c>
      <c r="T104" s="618" t="str">
        <f>IFERROR(IF(데이터입력!$AE$2="추경",VLOOKUP($N104,데이터입력!$A:$H,6,FALSE),""),"")</f>
        <v/>
      </c>
      <c r="U104" s="619" t="str">
        <f>IFERROR(IF(데이터입력!$AE$2="추경",VLOOKUP($N104,데이터입력!$A:$L,8,FALSE)+VLOOKUP($N104,데이터입력!$A:$L,9,FALSE)+VLOOKUP($N104,데이터입력!$A:$L,10,FALSE),""),"")</f>
        <v/>
      </c>
      <c r="V104" s="620" t="s">
        <v>135</v>
      </c>
      <c r="W104" s="620" t="s">
        <v>135</v>
      </c>
      <c r="X104" s="620" t="s">
        <v>135</v>
      </c>
      <c r="Y104" s="601"/>
      <c r="Z104" s="182" t="str">
        <f>데이터입력!$AB$8</f>
        <v>00</v>
      </c>
      <c r="AA104" s="185" t="str">
        <f>데이터입력!$AC$9</f>
        <v>일반사업[일반]</v>
      </c>
      <c r="AB104" s="183" t="str">
        <f>IFERROR(IF(데이터입력!$AE$2="추경",VLOOKUP($A104,#REF!,4,FALSE),""),"")</f>
        <v/>
      </c>
      <c r="AC104" s="183" t="str">
        <f>IFERROR(IF(데이터입력!$AE$2="추경",VLOOKUP($A104,#REF!,5,FALSE),""),"")</f>
        <v/>
      </c>
      <c r="AD104" s="183" t="str">
        <f>IFERROR(IF(데이터입력!$AE$2="추경",VLOOKUP($A104,#REF!,6,FALSE),""),"")</f>
        <v/>
      </c>
      <c r="AE104" s="183" t="str">
        <f>IFERROR(IF(데이터입력!$AE$2="추경",VLOOKUP($A104,#REF!,7,FALSE),""),"")</f>
        <v/>
      </c>
      <c r="AF104" s="183"/>
      <c r="AG104" s="184" t="str">
        <f>IFERROR(IF(데이터입력!$AE$2="추경",VLOOKUP($A104,#REF!,9,FALSE),""),"")</f>
        <v/>
      </c>
      <c r="AH104" s="184" t="str">
        <f>IFERROR(IF(데이터입력!$AE$2="추경",VLOOKUP($A104,#REF!,10,FALSE),""),"")</f>
        <v/>
      </c>
      <c r="AI104" s="184" t="str">
        <f>IFERROR(IF(데이터입력!$AE$2="추경",VLOOKUP($A104,#REF!,11,FALSE),""),"")</f>
        <v/>
      </c>
      <c r="AJ104" s="184" t="str">
        <f>IFERROR(IF(데이터입력!$AE$2="추경",VLOOKUP($A104,#REF!,12,FALSE),""),"")</f>
        <v/>
      </c>
      <c r="AK104" s="184" t="str">
        <f>IFERROR(IF(데이터입력!$AE$2="추경",VLOOKUP($A104,#REF!,13,FALSE),""),"")</f>
        <v/>
      </c>
    </row>
    <row r="105" spans="1:37">
      <c r="A105" s="180">
        <v>103</v>
      </c>
      <c r="B105" s="608" t="str">
        <f>IFERROR(IF(F105="06",데이터입력!$AB$8,IF(F105="07",데이터입력!$AD$8,IF(F105="05",데이터입력!$AF$8,데이터입력!$AB$8))),데이터입력!$AB$8)</f>
        <v>00</v>
      </c>
      <c r="C105" s="609" t="str">
        <f>데이터입력!$AC$9</f>
        <v>일반사업[일반]</v>
      </c>
      <c r="D105" s="610" t="str">
        <f>IFERROR(IF(AND(데이터입력!$AE$2="추경",데이터입력!$AM$2=TRUE),VLOOKUP($A105,데이터입력!$A:$H,4,FALSE),""),"")</f>
        <v/>
      </c>
      <c r="E105" s="610" t="str">
        <f>IFERROR(IF(AND(데이터입력!$AE$2="추경",데이터입력!$AM$2=TRUE),VLOOKUP($A105,데이터입력!$A:$H,2,FALSE),""),"")</f>
        <v/>
      </c>
      <c r="F105" s="610" t="str">
        <f>IFERROR(IF(AND(데이터입력!$AE$2="추경",데이터입력!$AM$2=TRUE),VLOOKUP($A105,데이터입력!$A:$H,5,FALSE),""),"")</f>
        <v/>
      </c>
      <c r="G105" s="610" t="str">
        <f>IFERROR(IF(AND(데이터입력!$AE$2="추경",데이터입력!$AM$2=TRUE),VLOOKUP($A105,데이터입력!$A:$H,6,FALSE),""),"")</f>
        <v/>
      </c>
      <c r="H105" s="611" t="str">
        <f>IFERROR(IF(AND(데이터입력!$AE$2="추경",데이터입력!$AM$2=TRUE),VLOOKUP($A105,데이터입력!$A:$L,7,FALSE),""),"")</f>
        <v/>
      </c>
      <c r="I105" s="611" t="str">
        <f>IFERROR(IF(AND(데이터입력!$AE$2="추경",데이터입력!$AM$2=TRUE),VLOOKUP($A105,데이터입력!$A:$L,8,FALSE)+VLOOKUP($A105,데이터입력!$A:$L,9,FALSE)+VLOOKUP($A105,데이터입력!$A:$L,10,FALSE),""),"")</f>
        <v/>
      </c>
      <c r="J105" s="612" t="s">
        <v>135</v>
      </c>
      <c r="K105" s="612" t="s">
        <v>135</v>
      </c>
      <c r="L105" s="612" t="s">
        <v>135</v>
      </c>
      <c r="M105" s="604"/>
      <c r="N105" s="180">
        <v>303</v>
      </c>
      <c r="O105" s="616" t="str">
        <f>IFERROR(IF(S105="06",데이터입력!$AB$8,IF(S105="07",데이터입력!$AD$8,IF(S105="05",데이터입력!$AF$8,데이터입력!$AB$8))),데이터입력!$AB$8)</f>
        <v>00</v>
      </c>
      <c r="P105" s="617" t="str">
        <f>데이터입력!$AC$9</f>
        <v>일반사업[일반]</v>
      </c>
      <c r="Q105" s="618" t="str">
        <f>IFERROR(IF(데이터입력!$AE$2="추경",VLOOKUP($N105,데이터입력!$A:$H,4,FALSE),""),"")</f>
        <v/>
      </c>
      <c r="R105" s="618" t="str">
        <f>IFERROR(IF(데이터입력!$AE$2="추경",VLOOKUP($N105,데이터입력!$A:$H,2,FALSE),""),"")</f>
        <v/>
      </c>
      <c r="S105" s="618" t="str">
        <f>IFERROR(IF(데이터입력!$AE$2="추경",VLOOKUP($N105,데이터입력!$A:$H,5,FALSE),""),"")</f>
        <v/>
      </c>
      <c r="T105" s="618" t="str">
        <f>IFERROR(IF(데이터입력!$AE$2="추경",VLOOKUP($N105,데이터입력!$A:$H,6,FALSE),""),"")</f>
        <v/>
      </c>
      <c r="U105" s="619" t="str">
        <f>IFERROR(IF(데이터입력!$AE$2="추경",VLOOKUP($N105,데이터입력!$A:$L,8,FALSE)+VLOOKUP($N105,데이터입력!$A:$L,9,FALSE)+VLOOKUP($N105,데이터입력!$A:$L,10,FALSE),""),"")</f>
        <v/>
      </c>
      <c r="V105" s="620" t="s">
        <v>135</v>
      </c>
      <c r="W105" s="620" t="s">
        <v>135</v>
      </c>
      <c r="X105" s="620" t="s">
        <v>135</v>
      </c>
      <c r="Y105" s="601"/>
      <c r="Z105" s="182" t="str">
        <f>데이터입력!$AB$8</f>
        <v>00</v>
      </c>
      <c r="AA105" s="185" t="str">
        <f>데이터입력!$AC$9</f>
        <v>일반사업[일반]</v>
      </c>
      <c r="AB105" s="183" t="str">
        <f>IFERROR(IF(데이터입력!$AE$2="추경",VLOOKUP($A105,#REF!,4,FALSE),""),"")</f>
        <v/>
      </c>
      <c r="AC105" s="183" t="str">
        <f>IFERROR(IF(데이터입력!$AE$2="추경",VLOOKUP($A105,#REF!,5,FALSE),""),"")</f>
        <v/>
      </c>
      <c r="AD105" s="183" t="str">
        <f>IFERROR(IF(데이터입력!$AE$2="추경",VLOOKUP($A105,#REF!,6,FALSE),""),"")</f>
        <v/>
      </c>
      <c r="AE105" s="183" t="str">
        <f>IFERROR(IF(데이터입력!$AE$2="추경",VLOOKUP($A105,#REF!,7,FALSE),""),"")</f>
        <v/>
      </c>
      <c r="AF105" s="183"/>
      <c r="AG105" s="184" t="str">
        <f>IFERROR(IF(데이터입력!$AE$2="추경",VLOOKUP($A105,#REF!,9,FALSE),""),"")</f>
        <v/>
      </c>
      <c r="AH105" s="184" t="str">
        <f>IFERROR(IF(데이터입력!$AE$2="추경",VLOOKUP($A105,#REF!,10,FALSE),""),"")</f>
        <v/>
      </c>
      <c r="AI105" s="184" t="str">
        <f>IFERROR(IF(데이터입력!$AE$2="추경",VLOOKUP($A105,#REF!,11,FALSE),""),"")</f>
        <v/>
      </c>
      <c r="AJ105" s="184" t="str">
        <f>IFERROR(IF(데이터입력!$AE$2="추경",VLOOKUP($A105,#REF!,12,FALSE),""),"")</f>
        <v/>
      </c>
      <c r="AK105" s="184" t="str">
        <f>IFERROR(IF(데이터입력!$AE$2="추경",VLOOKUP($A105,#REF!,13,FALSE),""),"")</f>
        <v/>
      </c>
    </row>
    <row r="106" spans="1:37">
      <c r="A106" s="180">
        <v>104</v>
      </c>
      <c r="B106" s="608" t="str">
        <f>IFERROR(IF(F106="06",데이터입력!$AB$8,IF(F106="07",데이터입력!$AD$8,IF(F106="05",데이터입력!$AF$8,데이터입력!$AB$8))),데이터입력!$AB$8)</f>
        <v>00</v>
      </c>
      <c r="C106" s="609" t="str">
        <f>데이터입력!$AC$9</f>
        <v>일반사업[일반]</v>
      </c>
      <c r="D106" s="610" t="str">
        <f>IFERROR(IF(AND(데이터입력!$AE$2="추경",데이터입력!$AM$2=TRUE),VLOOKUP($A106,데이터입력!$A:$H,4,FALSE),""),"")</f>
        <v/>
      </c>
      <c r="E106" s="610" t="str">
        <f>IFERROR(IF(AND(데이터입력!$AE$2="추경",데이터입력!$AM$2=TRUE),VLOOKUP($A106,데이터입력!$A:$H,2,FALSE),""),"")</f>
        <v/>
      </c>
      <c r="F106" s="610" t="str">
        <f>IFERROR(IF(AND(데이터입력!$AE$2="추경",데이터입력!$AM$2=TRUE),VLOOKUP($A106,데이터입력!$A:$H,5,FALSE),""),"")</f>
        <v/>
      </c>
      <c r="G106" s="610" t="str">
        <f>IFERROR(IF(AND(데이터입력!$AE$2="추경",데이터입력!$AM$2=TRUE),VLOOKUP($A106,데이터입력!$A:$H,6,FALSE),""),"")</f>
        <v/>
      </c>
      <c r="H106" s="611" t="str">
        <f>IFERROR(IF(AND(데이터입력!$AE$2="추경",데이터입력!$AM$2=TRUE),VLOOKUP($A106,데이터입력!$A:$L,7,FALSE),""),"")</f>
        <v/>
      </c>
      <c r="I106" s="611" t="str">
        <f>IFERROR(IF(AND(데이터입력!$AE$2="추경",데이터입력!$AM$2=TRUE),VLOOKUP($A106,데이터입력!$A:$L,8,FALSE)+VLOOKUP($A106,데이터입력!$A:$L,9,FALSE)+VLOOKUP($A106,데이터입력!$A:$L,10,FALSE),""),"")</f>
        <v/>
      </c>
      <c r="J106" s="612" t="s">
        <v>135</v>
      </c>
      <c r="K106" s="612" t="s">
        <v>135</v>
      </c>
      <c r="L106" s="612" t="s">
        <v>135</v>
      </c>
      <c r="M106" s="604"/>
      <c r="N106" s="180">
        <v>304</v>
      </c>
      <c r="O106" s="616" t="str">
        <f>IFERROR(IF(S106="06",데이터입력!$AB$8,IF(S106="07",데이터입력!$AD$8,IF(S106="05",데이터입력!$AF$8,데이터입력!$AB$8))),데이터입력!$AB$8)</f>
        <v>00</v>
      </c>
      <c r="P106" s="617" t="str">
        <f>데이터입력!$AC$9</f>
        <v>일반사업[일반]</v>
      </c>
      <c r="Q106" s="618" t="str">
        <f>IFERROR(IF(데이터입력!$AE$2="추경",VLOOKUP($N106,데이터입력!$A:$H,4,FALSE),""),"")</f>
        <v/>
      </c>
      <c r="R106" s="618" t="str">
        <f>IFERROR(IF(데이터입력!$AE$2="추경",VLOOKUP($N106,데이터입력!$A:$H,2,FALSE),""),"")</f>
        <v/>
      </c>
      <c r="S106" s="618" t="str">
        <f>IFERROR(IF(데이터입력!$AE$2="추경",VLOOKUP($N106,데이터입력!$A:$H,5,FALSE),""),"")</f>
        <v/>
      </c>
      <c r="T106" s="618" t="str">
        <f>IFERROR(IF(데이터입력!$AE$2="추경",VLOOKUP($N106,데이터입력!$A:$H,6,FALSE),""),"")</f>
        <v/>
      </c>
      <c r="U106" s="619" t="str">
        <f>IFERROR(IF(데이터입력!$AE$2="추경",VLOOKUP($N106,데이터입력!$A:$L,8,FALSE)+VLOOKUP($N106,데이터입력!$A:$L,9,FALSE)+VLOOKUP($N106,데이터입력!$A:$L,10,FALSE),""),"")</f>
        <v/>
      </c>
      <c r="V106" s="620" t="s">
        <v>135</v>
      </c>
      <c r="W106" s="620" t="s">
        <v>135</v>
      </c>
      <c r="X106" s="620" t="s">
        <v>135</v>
      </c>
      <c r="Y106" s="601"/>
      <c r="Z106" s="182" t="str">
        <f>데이터입력!$AB$8</f>
        <v>00</v>
      </c>
      <c r="AA106" s="185" t="str">
        <f>데이터입력!$AC$9</f>
        <v>일반사업[일반]</v>
      </c>
      <c r="AB106" s="183" t="str">
        <f>IFERROR(IF(데이터입력!$AE$2="추경",VLOOKUP($A106,#REF!,4,FALSE),""),"")</f>
        <v/>
      </c>
      <c r="AC106" s="183" t="str">
        <f>IFERROR(IF(데이터입력!$AE$2="추경",VLOOKUP($A106,#REF!,5,FALSE),""),"")</f>
        <v/>
      </c>
      <c r="AD106" s="183" t="str">
        <f>IFERROR(IF(데이터입력!$AE$2="추경",VLOOKUP($A106,#REF!,6,FALSE),""),"")</f>
        <v/>
      </c>
      <c r="AE106" s="183" t="str">
        <f>IFERROR(IF(데이터입력!$AE$2="추경",VLOOKUP($A106,#REF!,7,FALSE),""),"")</f>
        <v/>
      </c>
      <c r="AF106" s="183"/>
      <c r="AG106" s="184" t="str">
        <f>IFERROR(IF(데이터입력!$AE$2="추경",VLOOKUP($A106,#REF!,9,FALSE),""),"")</f>
        <v/>
      </c>
      <c r="AH106" s="184" t="str">
        <f>IFERROR(IF(데이터입력!$AE$2="추경",VLOOKUP($A106,#REF!,10,FALSE),""),"")</f>
        <v/>
      </c>
      <c r="AI106" s="184" t="str">
        <f>IFERROR(IF(데이터입력!$AE$2="추경",VLOOKUP($A106,#REF!,11,FALSE),""),"")</f>
        <v/>
      </c>
      <c r="AJ106" s="184" t="str">
        <f>IFERROR(IF(데이터입력!$AE$2="추경",VLOOKUP($A106,#REF!,12,FALSE),""),"")</f>
        <v/>
      </c>
      <c r="AK106" s="184" t="str">
        <f>IFERROR(IF(데이터입력!$AE$2="추경",VLOOKUP($A106,#REF!,13,FALSE),""),"")</f>
        <v/>
      </c>
    </row>
    <row r="107" spans="1:37">
      <c r="A107" s="180">
        <v>105</v>
      </c>
      <c r="B107" s="608" t="str">
        <f>IFERROR(IF(F107="06",데이터입력!$AB$8,IF(F107="07",데이터입력!$AD$8,IF(F107="05",데이터입력!$AF$8,데이터입력!$AB$8))),데이터입력!$AB$8)</f>
        <v>00</v>
      </c>
      <c r="C107" s="609" t="str">
        <f>데이터입력!$AC$9</f>
        <v>일반사업[일반]</v>
      </c>
      <c r="D107" s="610" t="str">
        <f>IFERROR(IF(AND(데이터입력!$AE$2="추경",데이터입력!$AM$2=TRUE),VLOOKUP($A107,데이터입력!$A:$H,4,FALSE),""),"")</f>
        <v/>
      </c>
      <c r="E107" s="610" t="str">
        <f>IFERROR(IF(AND(데이터입력!$AE$2="추경",데이터입력!$AM$2=TRUE),VLOOKUP($A107,데이터입력!$A:$H,2,FALSE),""),"")</f>
        <v/>
      </c>
      <c r="F107" s="610" t="str">
        <f>IFERROR(IF(AND(데이터입력!$AE$2="추경",데이터입력!$AM$2=TRUE),VLOOKUP($A107,데이터입력!$A:$H,5,FALSE),""),"")</f>
        <v/>
      </c>
      <c r="G107" s="610" t="str">
        <f>IFERROR(IF(AND(데이터입력!$AE$2="추경",데이터입력!$AM$2=TRUE),VLOOKUP($A107,데이터입력!$A:$H,6,FALSE),""),"")</f>
        <v/>
      </c>
      <c r="H107" s="611" t="str">
        <f>IFERROR(IF(AND(데이터입력!$AE$2="추경",데이터입력!$AM$2=TRUE),VLOOKUP($A107,데이터입력!$A:$L,7,FALSE),""),"")</f>
        <v/>
      </c>
      <c r="I107" s="611" t="str">
        <f>IFERROR(IF(AND(데이터입력!$AE$2="추경",데이터입력!$AM$2=TRUE),VLOOKUP($A107,데이터입력!$A:$L,8,FALSE)+VLOOKUP($A107,데이터입력!$A:$L,9,FALSE)+VLOOKUP($A107,데이터입력!$A:$L,10,FALSE),""),"")</f>
        <v/>
      </c>
      <c r="J107" s="612" t="s">
        <v>135</v>
      </c>
      <c r="K107" s="612" t="s">
        <v>135</v>
      </c>
      <c r="L107" s="612" t="s">
        <v>135</v>
      </c>
      <c r="M107" s="604"/>
      <c r="N107" s="180">
        <v>305</v>
      </c>
      <c r="O107" s="616" t="str">
        <f>IFERROR(IF(S107="06",데이터입력!$AB$8,IF(S107="07",데이터입력!$AD$8,IF(S107="05",데이터입력!$AF$8,데이터입력!$AB$8))),데이터입력!$AB$8)</f>
        <v>00</v>
      </c>
      <c r="P107" s="617" t="str">
        <f>데이터입력!$AC$9</f>
        <v>일반사업[일반]</v>
      </c>
      <c r="Q107" s="618" t="str">
        <f>IFERROR(IF(데이터입력!$AE$2="추경",VLOOKUP($N107,데이터입력!$A:$H,4,FALSE),""),"")</f>
        <v/>
      </c>
      <c r="R107" s="618" t="str">
        <f>IFERROR(IF(데이터입력!$AE$2="추경",VLOOKUP($N107,데이터입력!$A:$H,2,FALSE),""),"")</f>
        <v/>
      </c>
      <c r="S107" s="618" t="str">
        <f>IFERROR(IF(데이터입력!$AE$2="추경",VLOOKUP($N107,데이터입력!$A:$H,5,FALSE),""),"")</f>
        <v/>
      </c>
      <c r="T107" s="618" t="str">
        <f>IFERROR(IF(데이터입력!$AE$2="추경",VLOOKUP($N107,데이터입력!$A:$H,6,FALSE),""),"")</f>
        <v/>
      </c>
      <c r="U107" s="619" t="str">
        <f>IFERROR(IF(데이터입력!$AE$2="추경",VLOOKUP($N107,데이터입력!$A:$L,8,FALSE)+VLOOKUP($N107,데이터입력!$A:$L,9,FALSE)+VLOOKUP($N107,데이터입력!$A:$L,10,FALSE),""),"")</f>
        <v/>
      </c>
      <c r="V107" s="620" t="s">
        <v>135</v>
      </c>
      <c r="W107" s="620" t="s">
        <v>135</v>
      </c>
      <c r="X107" s="620" t="s">
        <v>135</v>
      </c>
      <c r="Y107" s="601"/>
      <c r="Z107" s="182" t="str">
        <f>데이터입력!$AB$8</f>
        <v>00</v>
      </c>
      <c r="AA107" s="185" t="str">
        <f>데이터입력!$AC$9</f>
        <v>일반사업[일반]</v>
      </c>
      <c r="AB107" s="183" t="str">
        <f>IFERROR(IF(데이터입력!$AE$2="추경",VLOOKUP($A107,#REF!,4,FALSE),""),"")</f>
        <v/>
      </c>
      <c r="AC107" s="183" t="str">
        <f>IFERROR(IF(데이터입력!$AE$2="추경",VLOOKUP($A107,#REF!,5,FALSE),""),"")</f>
        <v/>
      </c>
      <c r="AD107" s="183" t="str">
        <f>IFERROR(IF(데이터입력!$AE$2="추경",VLOOKUP($A107,#REF!,6,FALSE),""),"")</f>
        <v/>
      </c>
      <c r="AE107" s="183" t="str">
        <f>IFERROR(IF(데이터입력!$AE$2="추경",VLOOKUP($A107,#REF!,7,FALSE),""),"")</f>
        <v/>
      </c>
      <c r="AF107" s="183"/>
      <c r="AG107" s="184" t="str">
        <f>IFERROR(IF(데이터입력!$AE$2="추경",VLOOKUP($A107,#REF!,9,FALSE),""),"")</f>
        <v/>
      </c>
      <c r="AH107" s="184" t="str">
        <f>IFERROR(IF(데이터입력!$AE$2="추경",VLOOKUP($A107,#REF!,10,FALSE),""),"")</f>
        <v/>
      </c>
      <c r="AI107" s="184" t="str">
        <f>IFERROR(IF(데이터입력!$AE$2="추경",VLOOKUP($A107,#REF!,11,FALSE),""),"")</f>
        <v/>
      </c>
      <c r="AJ107" s="184" t="str">
        <f>IFERROR(IF(데이터입력!$AE$2="추경",VLOOKUP($A107,#REF!,12,FALSE),""),"")</f>
        <v/>
      </c>
      <c r="AK107" s="184" t="str">
        <f>IFERROR(IF(데이터입력!$AE$2="추경",VLOOKUP($A107,#REF!,13,FALSE),""),"")</f>
        <v/>
      </c>
    </row>
    <row r="108" spans="1:37">
      <c r="A108" s="180">
        <v>106</v>
      </c>
      <c r="B108" s="608" t="str">
        <f>IFERROR(IF(F108="06",데이터입력!$AB$8,IF(F108="07",데이터입력!$AD$8,IF(F108="05",데이터입력!$AF$8,데이터입력!$AB$8))),데이터입력!$AB$8)</f>
        <v>00</v>
      </c>
      <c r="C108" s="609" t="str">
        <f>데이터입력!$AC$9</f>
        <v>일반사업[일반]</v>
      </c>
      <c r="D108" s="610" t="str">
        <f>IFERROR(IF(AND(데이터입력!$AE$2="추경",데이터입력!$AM$2=TRUE),VLOOKUP($A108,데이터입력!$A:$H,4,FALSE),""),"")</f>
        <v/>
      </c>
      <c r="E108" s="610" t="str">
        <f>IFERROR(IF(AND(데이터입력!$AE$2="추경",데이터입력!$AM$2=TRUE),VLOOKUP($A108,데이터입력!$A:$H,2,FALSE),""),"")</f>
        <v/>
      </c>
      <c r="F108" s="610" t="str">
        <f>IFERROR(IF(AND(데이터입력!$AE$2="추경",데이터입력!$AM$2=TRUE),VLOOKUP($A108,데이터입력!$A:$H,5,FALSE),""),"")</f>
        <v/>
      </c>
      <c r="G108" s="610" t="str">
        <f>IFERROR(IF(AND(데이터입력!$AE$2="추경",데이터입력!$AM$2=TRUE),VLOOKUP($A108,데이터입력!$A:$H,6,FALSE),""),"")</f>
        <v/>
      </c>
      <c r="H108" s="611" t="str">
        <f>IFERROR(IF(AND(데이터입력!$AE$2="추경",데이터입력!$AM$2=TRUE),VLOOKUP($A108,데이터입력!$A:$L,7,FALSE),""),"")</f>
        <v/>
      </c>
      <c r="I108" s="611" t="str">
        <f>IFERROR(IF(AND(데이터입력!$AE$2="추경",데이터입력!$AM$2=TRUE),VLOOKUP($A108,데이터입력!$A:$L,8,FALSE)+VLOOKUP($A108,데이터입력!$A:$L,9,FALSE)+VLOOKUP($A108,데이터입력!$A:$L,10,FALSE),""),"")</f>
        <v/>
      </c>
      <c r="J108" s="612" t="s">
        <v>135</v>
      </c>
      <c r="K108" s="612" t="s">
        <v>135</v>
      </c>
      <c r="L108" s="612" t="s">
        <v>135</v>
      </c>
      <c r="M108" s="604"/>
      <c r="N108" s="180">
        <v>306</v>
      </c>
      <c r="O108" s="616" t="str">
        <f>IFERROR(IF(S108="06",데이터입력!$AB$8,IF(S108="07",데이터입력!$AD$8,IF(S108="05",데이터입력!$AF$8,데이터입력!$AB$8))),데이터입력!$AB$8)</f>
        <v>00</v>
      </c>
      <c r="P108" s="617" t="str">
        <f>데이터입력!$AC$9</f>
        <v>일반사업[일반]</v>
      </c>
      <c r="Q108" s="618" t="str">
        <f>IFERROR(IF(데이터입력!$AE$2="추경",VLOOKUP($N108,데이터입력!$A:$H,4,FALSE),""),"")</f>
        <v/>
      </c>
      <c r="R108" s="618" t="str">
        <f>IFERROR(IF(데이터입력!$AE$2="추경",VLOOKUP($N108,데이터입력!$A:$H,2,FALSE),""),"")</f>
        <v/>
      </c>
      <c r="S108" s="618" t="str">
        <f>IFERROR(IF(데이터입력!$AE$2="추경",VLOOKUP($N108,데이터입력!$A:$H,5,FALSE),""),"")</f>
        <v/>
      </c>
      <c r="T108" s="618" t="str">
        <f>IFERROR(IF(데이터입력!$AE$2="추경",VLOOKUP($N108,데이터입력!$A:$H,6,FALSE),""),"")</f>
        <v/>
      </c>
      <c r="U108" s="619" t="str">
        <f>IFERROR(IF(데이터입력!$AE$2="추경",VLOOKUP($N108,데이터입력!$A:$L,8,FALSE)+VLOOKUP($N108,데이터입력!$A:$L,9,FALSE)+VLOOKUP($N108,데이터입력!$A:$L,10,FALSE),""),"")</f>
        <v/>
      </c>
      <c r="V108" s="620" t="s">
        <v>135</v>
      </c>
      <c r="W108" s="620" t="s">
        <v>135</v>
      </c>
      <c r="X108" s="620" t="s">
        <v>135</v>
      </c>
      <c r="Y108" s="601"/>
      <c r="Z108" s="182" t="str">
        <f>데이터입력!$AB$8</f>
        <v>00</v>
      </c>
      <c r="AA108" s="185" t="str">
        <f>데이터입력!$AC$9</f>
        <v>일반사업[일반]</v>
      </c>
      <c r="AB108" s="183" t="str">
        <f>IFERROR(IF(데이터입력!$AE$2="추경",VLOOKUP($A108,#REF!,4,FALSE),""),"")</f>
        <v/>
      </c>
      <c r="AC108" s="183" t="str">
        <f>IFERROR(IF(데이터입력!$AE$2="추경",VLOOKUP($A108,#REF!,5,FALSE),""),"")</f>
        <v/>
      </c>
      <c r="AD108" s="183" t="str">
        <f>IFERROR(IF(데이터입력!$AE$2="추경",VLOOKUP($A108,#REF!,6,FALSE),""),"")</f>
        <v/>
      </c>
      <c r="AE108" s="183" t="str">
        <f>IFERROR(IF(데이터입력!$AE$2="추경",VLOOKUP($A108,#REF!,7,FALSE),""),"")</f>
        <v/>
      </c>
      <c r="AF108" s="183"/>
      <c r="AG108" s="184" t="str">
        <f>IFERROR(IF(데이터입력!$AE$2="추경",VLOOKUP($A108,#REF!,9,FALSE),""),"")</f>
        <v/>
      </c>
      <c r="AH108" s="184" t="str">
        <f>IFERROR(IF(데이터입력!$AE$2="추경",VLOOKUP($A108,#REF!,10,FALSE),""),"")</f>
        <v/>
      </c>
      <c r="AI108" s="184" t="str">
        <f>IFERROR(IF(데이터입력!$AE$2="추경",VLOOKUP($A108,#REF!,11,FALSE),""),"")</f>
        <v/>
      </c>
      <c r="AJ108" s="184" t="str">
        <f>IFERROR(IF(데이터입력!$AE$2="추경",VLOOKUP($A108,#REF!,12,FALSE),""),"")</f>
        <v/>
      </c>
      <c r="AK108" s="184" t="str">
        <f>IFERROR(IF(데이터입력!$AE$2="추경",VLOOKUP($A108,#REF!,13,FALSE),""),"")</f>
        <v/>
      </c>
    </row>
    <row r="109" spans="1:37">
      <c r="A109" s="180">
        <v>107</v>
      </c>
      <c r="B109" s="608" t="str">
        <f>IFERROR(IF(F109="06",데이터입력!$AB$8,IF(F109="07",데이터입력!$AD$8,IF(F109="05",데이터입력!$AF$8,데이터입력!$AB$8))),데이터입력!$AB$8)</f>
        <v>00</v>
      </c>
      <c r="C109" s="609" t="str">
        <f>데이터입력!$AC$9</f>
        <v>일반사업[일반]</v>
      </c>
      <c r="D109" s="610" t="str">
        <f>IFERROR(IF(AND(데이터입력!$AE$2="추경",데이터입력!$AM$2=TRUE),VLOOKUP($A109,데이터입력!$A:$H,4,FALSE),""),"")</f>
        <v/>
      </c>
      <c r="E109" s="610" t="str">
        <f>IFERROR(IF(AND(데이터입력!$AE$2="추경",데이터입력!$AM$2=TRUE),VLOOKUP($A109,데이터입력!$A:$H,2,FALSE),""),"")</f>
        <v/>
      </c>
      <c r="F109" s="610" t="str">
        <f>IFERROR(IF(AND(데이터입력!$AE$2="추경",데이터입력!$AM$2=TRUE),VLOOKUP($A109,데이터입력!$A:$H,5,FALSE),""),"")</f>
        <v/>
      </c>
      <c r="G109" s="610" t="str">
        <f>IFERROR(IF(AND(데이터입력!$AE$2="추경",데이터입력!$AM$2=TRUE),VLOOKUP($A109,데이터입력!$A:$H,6,FALSE),""),"")</f>
        <v/>
      </c>
      <c r="H109" s="611" t="str">
        <f>IFERROR(IF(AND(데이터입력!$AE$2="추경",데이터입력!$AM$2=TRUE),VLOOKUP($A109,데이터입력!$A:$L,7,FALSE),""),"")</f>
        <v/>
      </c>
      <c r="I109" s="611" t="str">
        <f>IFERROR(IF(AND(데이터입력!$AE$2="추경",데이터입력!$AM$2=TRUE),VLOOKUP($A109,데이터입력!$A:$L,8,FALSE)+VLOOKUP($A109,데이터입력!$A:$L,9,FALSE)+VLOOKUP($A109,데이터입력!$A:$L,10,FALSE),""),"")</f>
        <v/>
      </c>
      <c r="J109" s="612" t="s">
        <v>135</v>
      </c>
      <c r="K109" s="612" t="s">
        <v>135</v>
      </c>
      <c r="L109" s="612" t="s">
        <v>135</v>
      </c>
      <c r="M109" s="604"/>
      <c r="N109" s="180">
        <v>307</v>
      </c>
      <c r="O109" s="616" t="str">
        <f>IFERROR(IF(S109="06",데이터입력!$AB$8,IF(S109="07",데이터입력!$AD$8,IF(S109="05",데이터입력!$AF$8,데이터입력!$AB$8))),데이터입력!$AB$8)</f>
        <v>00</v>
      </c>
      <c r="P109" s="617" t="str">
        <f>데이터입력!$AC$9</f>
        <v>일반사업[일반]</v>
      </c>
      <c r="Q109" s="618" t="str">
        <f>IFERROR(IF(데이터입력!$AE$2="추경",VLOOKUP($N109,데이터입력!$A:$H,4,FALSE),""),"")</f>
        <v/>
      </c>
      <c r="R109" s="618" t="str">
        <f>IFERROR(IF(데이터입력!$AE$2="추경",VLOOKUP($N109,데이터입력!$A:$H,2,FALSE),""),"")</f>
        <v/>
      </c>
      <c r="S109" s="618" t="str">
        <f>IFERROR(IF(데이터입력!$AE$2="추경",VLOOKUP($N109,데이터입력!$A:$H,5,FALSE),""),"")</f>
        <v/>
      </c>
      <c r="T109" s="618" t="str">
        <f>IFERROR(IF(데이터입력!$AE$2="추경",VLOOKUP($N109,데이터입력!$A:$H,6,FALSE),""),"")</f>
        <v/>
      </c>
      <c r="U109" s="619" t="str">
        <f>IFERROR(IF(데이터입력!$AE$2="추경",VLOOKUP($N109,데이터입력!$A:$L,8,FALSE)+VLOOKUP($N109,데이터입력!$A:$L,9,FALSE)+VLOOKUP($N109,데이터입력!$A:$L,10,FALSE),""),"")</f>
        <v/>
      </c>
      <c r="V109" s="620" t="s">
        <v>135</v>
      </c>
      <c r="W109" s="620" t="s">
        <v>135</v>
      </c>
      <c r="X109" s="620" t="s">
        <v>135</v>
      </c>
      <c r="Y109" s="601"/>
      <c r="Z109" s="182" t="str">
        <f>데이터입력!$AB$8</f>
        <v>00</v>
      </c>
      <c r="AA109" s="185" t="str">
        <f>데이터입력!$AC$9</f>
        <v>일반사업[일반]</v>
      </c>
      <c r="AB109" s="183" t="str">
        <f>IFERROR(IF(데이터입력!$AE$2="추경",VLOOKUP($A109,#REF!,4,FALSE),""),"")</f>
        <v/>
      </c>
      <c r="AC109" s="183" t="str">
        <f>IFERROR(IF(데이터입력!$AE$2="추경",VLOOKUP($A109,#REF!,5,FALSE),""),"")</f>
        <v/>
      </c>
      <c r="AD109" s="183" t="str">
        <f>IFERROR(IF(데이터입력!$AE$2="추경",VLOOKUP($A109,#REF!,6,FALSE),""),"")</f>
        <v/>
      </c>
      <c r="AE109" s="183" t="str">
        <f>IFERROR(IF(데이터입력!$AE$2="추경",VLOOKUP($A109,#REF!,7,FALSE),""),"")</f>
        <v/>
      </c>
      <c r="AF109" s="183"/>
      <c r="AG109" s="184" t="str">
        <f>IFERROR(IF(데이터입력!$AE$2="추경",VLOOKUP($A109,#REF!,9,FALSE),""),"")</f>
        <v/>
      </c>
      <c r="AH109" s="184" t="str">
        <f>IFERROR(IF(데이터입력!$AE$2="추경",VLOOKUP($A109,#REF!,10,FALSE),""),"")</f>
        <v/>
      </c>
      <c r="AI109" s="184" t="str">
        <f>IFERROR(IF(데이터입력!$AE$2="추경",VLOOKUP($A109,#REF!,11,FALSE),""),"")</f>
        <v/>
      </c>
      <c r="AJ109" s="184" t="str">
        <f>IFERROR(IF(데이터입력!$AE$2="추경",VLOOKUP($A109,#REF!,12,FALSE),""),"")</f>
        <v/>
      </c>
      <c r="AK109" s="184" t="str">
        <f>IFERROR(IF(데이터입력!$AE$2="추경",VLOOKUP($A109,#REF!,13,FALSE),""),"")</f>
        <v/>
      </c>
    </row>
    <row r="110" spans="1:37">
      <c r="A110" s="180">
        <v>108</v>
      </c>
      <c r="B110" s="608" t="str">
        <f>IFERROR(IF(F110="06",데이터입력!$AB$8,IF(F110="07",데이터입력!$AD$8,IF(F110="05",데이터입력!$AF$8,데이터입력!$AB$8))),데이터입력!$AB$8)</f>
        <v>00</v>
      </c>
      <c r="C110" s="609" t="str">
        <f>데이터입력!$AC$9</f>
        <v>일반사업[일반]</v>
      </c>
      <c r="D110" s="610" t="str">
        <f>IFERROR(IF(AND(데이터입력!$AE$2="추경",데이터입력!$AM$2=TRUE),VLOOKUP($A110,데이터입력!$A:$H,4,FALSE),""),"")</f>
        <v/>
      </c>
      <c r="E110" s="610" t="str">
        <f>IFERROR(IF(AND(데이터입력!$AE$2="추경",데이터입력!$AM$2=TRUE),VLOOKUP($A110,데이터입력!$A:$H,2,FALSE),""),"")</f>
        <v/>
      </c>
      <c r="F110" s="610" t="str">
        <f>IFERROR(IF(AND(데이터입력!$AE$2="추경",데이터입력!$AM$2=TRUE),VLOOKUP($A110,데이터입력!$A:$H,5,FALSE),""),"")</f>
        <v/>
      </c>
      <c r="G110" s="610" t="str">
        <f>IFERROR(IF(AND(데이터입력!$AE$2="추경",데이터입력!$AM$2=TRUE),VLOOKUP($A110,데이터입력!$A:$H,6,FALSE),""),"")</f>
        <v/>
      </c>
      <c r="H110" s="611" t="str">
        <f>IFERROR(IF(AND(데이터입력!$AE$2="추경",데이터입력!$AM$2=TRUE),VLOOKUP($A110,데이터입력!$A:$L,7,FALSE),""),"")</f>
        <v/>
      </c>
      <c r="I110" s="611" t="str">
        <f>IFERROR(IF(AND(데이터입력!$AE$2="추경",데이터입력!$AM$2=TRUE),VLOOKUP($A110,데이터입력!$A:$L,8,FALSE)+VLOOKUP($A110,데이터입력!$A:$L,9,FALSE)+VLOOKUP($A110,데이터입력!$A:$L,10,FALSE),""),"")</f>
        <v/>
      </c>
      <c r="J110" s="612" t="s">
        <v>135</v>
      </c>
      <c r="K110" s="612" t="s">
        <v>135</v>
      </c>
      <c r="L110" s="612" t="s">
        <v>135</v>
      </c>
      <c r="M110" s="604"/>
      <c r="N110" s="180">
        <v>308</v>
      </c>
      <c r="O110" s="616" t="str">
        <f>IFERROR(IF(S110="06",데이터입력!$AB$8,IF(S110="07",데이터입력!$AD$8,IF(S110="05",데이터입력!$AF$8,데이터입력!$AB$8))),데이터입력!$AB$8)</f>
        <v>00</v>
      </c>
      <c r="P110" s="617" t="str">
        <f>데이터입력!$AC$9</f>
        <v>일반사업[일반]</v>
      </c>
      <c r="Q110" s="618" t="str">
        <f>IFERROR(IF(데이터입력!$AE$2="추경",VLOOKUP($N110,데이터입력!$A:$H,4,FALSE),""),"")</f>
        <v/>
      </c>
      <c r="R110" s="618" t="str">
        <f>IFERROR(IF(데이터입력!$AE$2="추경",VLOOKUP($N110,데이터입력!$A:$H,2,FALSE),""),"")</f>
        <v/>
      </c>
      <c r="S110" s="618" t="str">
        <f>IFERROR(IF(데이터입력!$AE$2="추경",VLOOKUP($N110,데이터입력!$A:$H,5,FALSE),""),"")</f>
        <v/>
      </c>
      <c r="T110" s="618" t="str">
        <f>IFERROR(IF(데이터입력!$AE$2="추경",VLOOKUP($N110,데이터입력!$A:$H,6,FALSE),""),"")</f>
        <v/>
      </c>
      <c r="U110" s="619" t="str">
        <f>IFERROR(IF(데이터입력!$AE$2="추경",VLOOKUP($N110,데이터입력!$A:$L,8,FALSE)+VLOOKUP($N110,데이터입력!$A:$L,9,FALSE)+VLOOKUP($N110,데이터입력!$A:$L,10,FALSE),""),"")</f>
        <v/>
      </c>
      <c r="V110" s="620" t="s">
        <v>135</v>
      </c>
      <c r="W110" s="620" t="s">
        <v>135</v>
      </c>
      <c r="X110" s="620" t="s">
        <v>135</v>
      </c>
      <c r="Y110" s="601"/>
      <c r="Z110" s="182" t="str">
        <f>데이터입력!$AB$8</f>
        <v>00</v>
      </c>
      <c r="AA110" s="185" t="str">
        <f>데이터입력!$AC$9</f>
        <v>일반사업[일반]</v>
      </c>
      <c r="AB110" s="183" t="str">
        <f>IFERROR(IF(데이터입력!$AE$2="추경",VLOOKUP($A110,#REF!,4,FALSE),""),"")</f>
        <v/>
      </c>
      <c r="AC110" s="183" t="str">
        <f>IFERROR(IF(데이터입력!$AE$2="추경",VLOOKUP($A110,#REF!,5,FALSE),""),"")</f>
        <v/>
      </c>
      <c r="AD110" s="183" t="str">
        <f>IFERROR(IF(데이터입력!$AE$2="추경",VLOOKUP($A110,#REF!,6,FALSE),""),"")</f>
        <v/>
      </c>
      <c r="AE110" s="183" t="str">
        <f>IFERROR(IF(데이터입력!$AE$2="추경",VLOOKUP($A110,#REF!,7,FALSE),""),"")</f>
        <v/>
      </c>
      <c r="AF110" s="183"/>
      <c r="AG110" s="184" t="str">
        <f>IFERROR(IF(데이터입력!$AE$2="추경",VLOOKUP($A110,#REF!,9,FALSE),""),"")</f>
        <v/>
      </c>
      <c r="AH110" s="184" t="str">
        <f>IFERROR(IF(데이터입력!$AE$2="추경",VLOOKUP($A110,#REF!,10,FALSE),""),"")</f>
        <v/>
      </c>
      <c r="AI110" s="184" t="str">
        <f>IFERROR(IF(데이터입력!$AE$2="추경",VLOOKUP($A110,#REF!,11,FALSE),""),"")</f>
        <v/>
      </c>
      <c r="AJ110" s="184" t="str">
        <f>IFERROR(IF(데이터입력!$AE$2="추경",VLOOKUP($A110,#REF!,12,FALSE),""),"")</f>
        <v/>
      </c>
      <c r="AK110" s="184" t="str">
        <f>IFERROR(IF(데이터입력!$AE$2="추경",VLOOKUP($A110,#REF!,13,FALSE),""),"")</f>
        <v/>
      </c>
    </row>
    <row r="111" spans="1:37">
      <c r="A111" s="180">
        <v>109</v>
      </c>
      <c r="B111" s="608" t="str">
        <f>IFERROR(IF(F111="06",데이터입력!$AB$8,IF(F111="07",데이터입력!$AD$8,IF(F111="05",데이터입력!$AF$8,데이터입력!$AB$8))),데이터입력!$AB$8)</f>
        <v>00</v>
      </c>
      <c r="C111" s="609" t="str">
        <f>데이터입력!$AC$9</f>
        <v>일반사업[일반]</v>
      </c>
      <c r="D111" s="610" t="str">
        <f>IFERROR(IF(AND(데이터입력!$AE$2="추경",데이터입력!$AM$2=TRUE),VLOOKUP($A111,데이터입력!$A:$H,4,FALSE),""),"")</f>
        <v/>
      </c>
      <c r="E111" s="610" t="str">
        <f>IFERROR(IF(AND(데이터입력!$AE$2="추경",데이터입력!$AM$2=TRUE),VLOOKUP($A111,데이터입력!$A:$H,2,FALSE),""),"")</f>
        <v/>
      </c>
      <c r="F111" s="610" t="str">
        <f>IFERROR(IF(AND(데이터입력!$AE$2="추경",데이터입력!$AM$2=TRUE),VLOOKUP($A111,데이터입력!$A:$H,5,FALSE),""),"")</f>
        <v/>
      </c>
      <c r="G111" s="610" t="str">
        <f>IFERROR(IF(AND(데이터입력!$AE$2="추경",데이터입력!$AM$2=TRUE),VLOOKUP($A111,데이터입력!$A:$H,6,FALSE),""),"")</f>
        <v/>
      </c>
      <c r="H111" s="611" t="str">
        <f>IFERROR(IF(AND(데이터입력!$AE$2="추경",데이터입력!$AM$2=TRUE),VLOOKUP($A111,데이터입력!$A:$L,7,FALSE),""),"")</f>
        <v/>
      </c>
      <c r="I111" s="611" t="str">
        <f>IFERROR(IF(AND(데이터입력!$AE$2="추경",데이터입력!$AM$2=TRUE),VLOOKUP($A111,데이터입력!$A:$L,8,FALSE)+VLOOKUP($A111,데이터입력!$A:$L,9,FALSE)+VLOOKUP($A111,데이터입력!$A:$L,10,FALSE),""),"")</f>
        <v/>
      </c>
      <c r="J111" s="612" t="s">
        <v>135</v>
      </c>
      <c r="K111" s="612" t="s">
        <v>135</v>
      </c>
      <c r="L111" s="612" t="s">
        <v>135</v>
      </c>
      <c r="M111" s="604"/>
      <c r="N111" s="180">
        <v>309</v>
      </c>
      <c r="O111" s="616" t="str">
        <f>IFERROR(IF(S111="06",데이터입력!$AB$8,IF(S111="07",데이터입력!$AD$8,IF(S111="05",데이터입력!$AF$8,데이터입력!$AB$8))),데이터입력!$AB$8)</f>
        <v>00</v>
      </c>
      <c r="P111" s="617" t="str">
        <f>데이터입력!$AC$9</f>
        <v>일반사업[일반]</v>
      </c>
      <c r="Q111" s="618" t="str">
        <f>IFERROR(IF(데이터입력!$AE$2="추경",VLOOKUP($N111,데이터입력!$A:$H,4,FALSE),""),"")</f>
        <v/>
      </c>
      <c r="R111" s="618" t="str">
        <f>IFERROR(IF(데이터입력!$AE$2="추경",VLOOKUP($N111,데이터입력!$A:$H,2,FALSE),""),"")</f>
        <v/>
      </c>
      <c r="S111" s="618" t="str">
        <f>IFERROR(IF(데이터입력!$AE$2="추경",VLOOKUP($N111,데이터입력!$A:$H,5,FALSE),""),"")</f>
        <v/>
      </c>
      <c r="T111" s="618" t="str">
        <f>IFERROR(IF(데이터입력!$AE$2="추경",VLOOKUP($N111,데이터입력!$A:$H,6,FALSE),""),"")</f>
        <v/>
      </c>
      <c r="U111" s="619" t="str">
        <f>IFERROR(IF(데이터입력!$AE$2="추경",VLOOKUP($N111,데이터입력!$A:$L,8,FALSE)+VLOOKUP($N111,데이터입력!$A:$L,9,FALSE)+VLOOKUP($N111,데이터입력!$A:$L,10,FALSE),""),"")</f>
        <v/>
      </c>
      <c r="V111" s="620" t="s">
        <v>135</v>
      </c>
      <c r="W111" s="620" t="s">
        <v>135</v>
      </c>
      <c r="X111" s="620" t="s">
        <v>135</v>
      </c>
      <c r="Y111" s="601"/>
      <c r="Z111" s="182" t="str">
        <f>데이터입력!$AB$8</f>
        <v>00</v>
      </c>
      <c r="AA111" s="185" t="str">
        <f>데이터입력!$AC$9</f>
        <v>일반사업[일반]</v>
      </c>
      <c r="AB111" s="183" t="str">
        <f>IFERROR(IF(데이터입력!$AE$2="추경",VLOOKUP($A111,#REF!,4,FALSE),""),"")</f>
        <v/>
      </c>
      <c r="AC111" s="183" t="str">
        <f>IFERROR(IF(데이터입력!$AE$2="추경",VLOOKUP($A111,#REF!,5,FALSE),""),"")</f>
        <v/>
      </c>
      <c r="AD111" s="183" t="str">
        <f>IFERROR(IF(데이터입력!$AE$2="추경",VLOOKUP($A111,#REF!,6,FALSE),""),"")</f>
        <v/>
      </c>
      <c r="AE111" s="183" t="str">
        <f>IFERROR(IF(데이터입력!$AE$2="추경",VLOOKUP($A111,#REF!,7,FALSE),""),"")</f>
        <v/>
      </c>
      <c r="AF111" s="183"/>
      <c r="AG111" s="184" t="str">
        <f>IFERROR(IF(데이터입력!$AE$2="추경",VLOOKUP($A111,#REF!,9,FALSE),""),"")</f>
        <v/>
      </c>
      <c r="AH111" s="184" t="str">
        <f>IFERROR(IF(데이터입력!$AE$2="추경",VLOOKUP($A111,#REF!,10,FALSE),""),"")</f>
        <v/>
      </c>
      <c r="AI111" s="184" t="str">
        <f>IFERROR(IF(데이터입력!$AE$2="추경",VLOOKUP($A111,#REF!,11,FALSE),""),"")</f>
        <v/>
      </c>
      <c r="AJ111" s="184" t="str">
        <f>IFERROR(IF(데이터입력!$AE$2="추경",VLOOKUP($A111,#REF!,12,FALSE),""),"")</f>
        <v/>
      </c>
      <c r="AK111" s="184" t="str">
        <f>IFERROR(IF(데이터입력!$AE$2="추경",VLOOKUP($A111,#REF!,13,FALSE),""),"")</f>
        <v/>
      </c>
    </row>
    <row r="112" spans="1:37">
      <c r="A112" s="180">
        <v>110</v>
      </c>
      <c r="B112" s="608" t="str">
        <f>IFERROR(IF(F112="06",데이터입력!$AB$8,IF(F112="07",데이터입력!$AD$8,IF(F112="05",데이터입력!$AF$8,데이터입력!$AB$8))),데이터입력!$AB$8)</f>
        <v>00</v>
      </c>
      <c r="C112" s="609" t="str">
        <f>데이터입력!$AC$9</f>
        <v>일반사업[일반]</v>
      </c>
      <c r="D112" s="610" t="str">
        <f>IFERROR(IF(AND(데이터입력!$AE$2="추경",데이터입력!$AM$2=TRUE),VLOOKUP($A112,데이터입력!$A:$H,4,FALSE),""),"")</f>
        <v/>
      </c>
      <c r="E112" s="610" t="str">
        <f>IFERROR(IF(AND(데이터입력!$AE$2="추경",데이터입력!$AM$2=TRUE),VLOOKUP($A112,데이터입력!$A:$H,2,FALSE),""),"")</f>
        <v/>
      </c>
      <c r="F112" s="610" t="str">
        <f>IFERROR(IF(AND(데이터입력!$AE$2="추경",데이터입력!$AM$2=TRUE),VLOOKUP($A112,데이터입력!$A:$H,5,FALSE),""),"")</f>
        <v/>
      </c>
      <c r="G112" s="610" t="str">
        <f>IFERROR(IF(AND(데이터입력!$AE$2="추경",데이터입력!$AM$2=TRUE),VLOOKUP($A112,데이터입력!$A:$H,6,FALSE),""),"")</f>
        <v/>
      </c>
      <c r="H112" s="611" t="str">
        <f>IFERROR(IF(AND(데이터입력!$AE$2="추경",데이터입력!$AM$2=TRUE),VLOOKUP($A112,데이터입력!$A:$L,7,FALSE),""),"")</f>
        <v/>
      </c>
      <c r="I112" s="611" t="str">
        <f>IFERROR(IF(AND(데이터입력!$AE$2="추경",데이터입력!$AM$2=TRUE),VLOOKUP($A112,데이터입력!$A:$L,8,FALSE)+VLOOKUP($A112,데이터입력!$A:$L,9,FALSE)+VLOOKUP($A112,데이터입력!$A:$L,10,FALSE),""),"")</f>
        <v/>
      </c>
      <c r="J112" s="612" t="s">
        <v>135</v>
      </c>
      <c r="K112" s="612" t="s">
        <v>135</v>
      </c>
      <c r="L112" s="612" t="s">
        <v>135</v>
      </c>
      <c r="M112" s="604"/>
      <c r="N112" s="180">
        <v>310</v>
      </c>
      <c r="O112" s="616" t="str">
        <f>IFERROR(IF(S112="06",데이터입력!$AB$8,IF(S112="07",데이터입력!$AD$8,IF(S112="05",데이터입력!$AF$8,데이터입력!$AB$8))),데이터입력!$AB$8)</f>
        <v>00</v>
      </c>
      <c r="P112" s="617" t="str">
        <f>데이터입력!$AC$9</f>
        <v>일반사업[일반]</v>
      </c>
      <c r="Q112" s="618" t="str">
        <f>IFERROR(IF(데이터입력!$AE$2="추경",VLOOKUP($N112,데이터입력!$A:$H,4,FALSE),""),"")</f>
        <v/>
      </c>
      <c r="R112" s="618" t="str">
        <f>IFERROR(IF(데이터입력!$AE$2="추경",VLOOKUP($N112,데이터입력!$A:$H,2,FALSE),""),"")</f>
        <v/>
      </c>
      <c r="S112" s="618" t="str">
        <f>IFERROR(IF(데이터입력!$AE$2="추경",VLOOKUP($N112,데이터입력!$A:$H,5,FALSE),""),"")</f>
        <v/>
      </c>
      <c r="T112" s="618" t="str">
        <f>IFERROR(IF(데이터입력!$AE$2="추경",VLOOKUP($N112,데이터입력!$A:$H,6,FALSE),""),"")</f>
        <v/>
      </c>
      <c r="U112" s="619" t="str">
        <f>IFERROR(IF(데이터입력!$AE$2="추경",VLOOKUP($N112,데이터입력!$A:$L,8,FALSE)+VLOOKUP($N112,데이터입력!$A:$L,9,FALSE)+VLOOKUP($N112,데이터입력!$A:$L,10,FALSE),""),"")</f>
        <v/>
      </c>
      <c r="V112" s="620" t="s">
        <v>135</v>
      </c>
      <c r="W112" s="620" t="s">
        <v>135</v>
      </c>
      <c r="X112" s="620" t="s">
        <v>135</v>
      </c>
      <c r="Y112" s="601"/>
      <c r="Z112" s="182" t="str">
        <f>데이터입력!$AB$8</f>
        <v>00</v>
      </c>
      <c r="AA112" s="185" t="str">
        <f>데이터입력!$AC$9</f>
        <v>일반사업[일반]</v>
      </c>
      <c r="AB112" s="183" t="str">
        <f>IFERROR(IF(데이터입력!$AE$2="추경",VLOOKUP($A112,#REF!,4,FALSE),""),"")</f>
        <v/>
      </c>
      <c r="AC112" s="183" t="str">
        <f>IFERROR(IF(데이터입력!$AE$2="추경",VLOOKUP($A112,#REF!,5,FALSE),""),"")</f>
        <v/>
      </c>
      <c r="AD112" s="183" t="str">
        <f>IFERROR(IF(데이터입력!$AE$2="추경",VLOOKUP($A112,#REF!,6,FALSE),""),"")</f>
        <v/>
      </c>
      <c r="AE112" s="183" t="str">
        <f>IFERROR(IF(데이터입력!$AE$2="추경",VLOOKUP($A112,#REF!,7,FALSE),""),"")</f>
        <v/>
      </c>
      <c r="AF112" s="183"/>
      <c r="AG112" s="184" t="str">
        <f>IFERROR(IF(데이터입력!$AE$2="추경",VLOOKUP($A112,#REF!,9,FALSE),""),"")</f>
        <v/>
      </c>
      <c r="AH112" s="184" t="str">
        <f>IFERROR(IF(데이터입력!$AE$2="추경",VLOOKUP($A112,#REF!,10,FALSE),""),"")</f>
        <v/>
      </c>
      <c r="AI112" s="184" t="str">
        <f>IFERROR(IF(데이터입력!$AE$2="추경",VLOOKUP($A112,#REF!,11,FALSE),""),"")</f>
        <v/>
      </c>
      <c r="AJ112" s="184" t="str">
        <f>IFERROR(IF(데이터입력!$AE$2="추경",VLOOKUP($A112,#REF!,12,FALSE),""),"")</f>
        <v/>
      </c>
      <c r="AK112" s="184" t="str">
        <f>IFERROR(IF(데이터입력!$AE$2="추경",VLOOKUP($A112,#REF!,13,FALSE),""),"")</f>
        <v/>
      </c>
    </row>
    <row r="113" spans="1:37">
      <c r="A113" s="180">
        <v>111</v>
      </c>
      <c r="B113" s="608" t="str">
        <f>IFERROR(IF(F113="06",데이터입력!$AB$8,IF(F113="07",데이터입력!$AD$8,IF(F113="05",데이터입력!$AF$8,데이터입력!$AB$8))),데이터입력!$AB$8)</f>
        <v>00</v>
      </c>
      <c r="C113" s="609" t="str">
        <f>데이터입력!$AC$9</f>
        <v>일반사업[일반]</v>
      </c>
      <c r="D113" s="610" t="str">
        <f>IFERROR(IF(AND(데이터입력!$AE$2="추경",데이터입력!$AM$2=TRUE),VLOOKUP($A113,데이터입력!$A:$H,4,FALSE),""),"")</f>
        <v/>
      </c>
      <c r="E113" s="610" t="str">
        <f>IFERROR(IF(AND(데이터입력!$AE$2="추경",데이터입력!$AM$2=TRUE),VLOOKUP($A113,데이터입력!$A:$H,2,FALSE),""),"")</f>
        <v/>
      </c>
      <c r="F113" s="610" t="str">
        <f>IFERROR(IF(AND(데이터입력!$AE$2="추경",데이터입력!$AM$2=TRUE),VLOOKUP($A113,데이터입력!$A:$H,5,FALSE),""),"")</f>
        <v/>
      </c>
      <c r="G113" s="610" t="str">
        <f>IFERROR(IF(AND(데이터입력!$AE$2="추경",데이터입력!$AM$2=TRUE),VLOOKUP($A113,데이터입력!$A:$H,6,FALSE),""),"")</f>
        <v/>
      </c>
      <c r="H113" s="611" t="str">
        <f>IFERROR(IF(AND(데이터입력!$AE$2="추경",데이터입력!$AM$2=TRUE),VLOOKUP($A113,데이터입력!$A:$L,7,FALSE),""),"")</f>
        <v/>
      </c>
      <c r="I113" s="611" t="str">
        <f>IFERROR(IF(AND(데이터입력!$AE$2="추경",데이터입력!$AM$2=TRUE),VLOOKUP($A113,데이터입력!$A:$L,8,FALSE)+VLOOKUP($A113,데이터입력!$A:$L,9,FALSE)+VLOOKUP($A113,데이터입력!$A:$L,10,FALSE),""),"")</f>
        <v/>
      </c>
      <c r="J113" s="612" t="s">
        <v>135</v>
      </c>
      <c r="K113" s="612" t="s">
        <v>135</v>
      </c>
      <c r="L113" s="612" t="s">
        <v>135</v>
      </c>
      <c r="M113" s="604"/>
      <c r="N113" s="180">
        <v>311</v>
      </c>
      <c r="O113" s="616" t="str">
        <f>IFERROR(IF(S113="06",데이터입력!$AB$8,IF(S113="07",데이터입력!$AD$8,IF(S113="05",데이터입력!$AF$8,데이터입력!$AB$8))),데이터입력!$AB$8)</f>
        <v>00</v>
      </c>
      <c r="P113" s="617" t="str">
        <f>데이터입력!$AC$9</f>
        <v>일반사업[일반]</v>
      </c>
      <c r="Q113" s="618" t="str">
        <f>IFERROR(IF(데이터입력!$AE$2="추경",VLOOKUP($N113,데이터입력!$A:$H,4,FALSE),""),"")</f>
        <v/>
      </c>
      <c r="R113" s="618" t="str">
        <f>IFERROR(IF(데이터입력!$AE$2="추경",VLOOKUP($N113,데이터입력!$A:$H,2,FALSE),""),"")</f>
        <v/>
      </c>
      <c r="S113" s="618" t="str">
        <f>IFERROR(IF(데이터입력!$AE$2="추경",VLOOKUP($N113,데이터입력!$A:$H,5,FALSE),""),"")</f>
        <v/>
      </c>
      <c r="T113" s="618" t="str">
        <f>IFERROR(IF(데이터입력!$AE$2="추경",VLOOKUP($N113,데이터입력!$A:$H,6,FALSE),""),"")</f>
        <v/>
      </c>
      <c r="U113" s="619" t="str">
        <f>IFERROR(IF(데이터입력!$AE$2="추경",VLOOKUP($N113,데이터입력!$A:$L,8,FALSE)+VLOOKUP($N113,데이터입력!$A:$L,9,FALSE)+VLOOKUP($N113,데이터입력!$A:$L,10,FALSE),""),"")</f>
        <v/>
      </c>
      <c r="V113" s="620" t="s">
        <v>135</v>
      </c>
      <c r="W113" s="620" t="s">
        <v>135</v>
      </c>
      <c r="X113" s="620" t="s">
        <v>135</v>
      </c>
      <c r="Y113" s="601"/>
      <c r="Z113" s="182" t="str">
        <f>데이터입력!$AB$8</f>
        <v>00</v>
      </c>
      <c r="AA113" s="185" t="str">
        <f>데이터입력!$AC$9</f>
        <v>일반사업[일반]</v>
      </c>
      <c r="AB113" s="183" t="str">
        <f>IFERROR(IF(데이터입력!$AE$2="추경",VLOOKUP($A113,#REF!,4,FALSE),""),"")</f>
        <v/>
      </c>
      <c r="AC113" s="183" t="str">
        <f>IFERROR(IF(데이터입력!$AE$2="추경",VLOOKUP($A113,#REF!,5,FALSE),""),"")</f>
        <v/>
      </c>
      <c r="AD113" s="183" t="str">
        <f>IFERROR(IF(데이터입력!$AE$2="추경",VLOOKUP($A113,#REF!,6,FALSE),""),"")</f>
        <v/>
      </c>
      <c r="AE113" s="183" t="str">
        <f>IFERROR(IF(데이터입력!$AE$2="추경",VLOOKUP($A113,#REF!,7,FALSE),""),"")</f>
        <v/>
      </c>
      <c r="AF113" s="183"/>
      <c r="AG113" s="184" t="str">
        <f>IFERROR(IF(데이터입력!$AE$2="추경",VLOOKUP($A113,#REF!,9,FALSE),""),"")</f>
        <v/>
      </c>
      <c r="AH113" s="184" t="str">
        <f>IFERROR(IF(데이터입력!$AE$2="추경",VLOOKUP($A113,#REF!,10,FALSE),""),"")</f>
        <v/>
      </c>
      <c r="AI113" s="184" t="str">
        <f>IFERROR(IF(데이터입력!$AE$2="추경",VLOOKUP($A113,#REF!,11,FALSE),""),"")</f>
        <v/>
      </c>
      <c r="AJ113" s="184" t="str">
        <f>IFERROR(IF(데이터입력!$AE$2="추경",VLOOKUP($A113,#REF!,12,FALSE),""),"")</f>
        <v/>
      </c>
      <c r="AK113" s="184" t="str">
        <f>IFERROR(IF(데이터입력!$AE$2="추경",VLOOKUP($A113,#REF!,13,FALSE),""),"")</f>
        <v/>
      </c>
    </row>
    <row r="114" spans="1:37">
      <c r="A114" s="180">
        <v>112</v>
      </c>
      <c r="B114" s="608" t="str">
        <f>IFERROR(IF(F114="06",데이터입력!$AB$8,IF(F114="07",데이터입력!$AD$8,IF(F114="05",데이터입력!$AF$8,데이터입력!$AB$8))),데이터입력!$AB$8)</f>
        <v>00</v>
      </c>
      <c r="C114" s="609" t="str">
        <f>데이터입력!$AC$9</f>
        <v>일반사업[일반]</v>
      </c>
      <c r="D114" s="610" t="str">
        <f>IFERROR(IF(AND(데이터입력!$AE$2="추경",데이터입력!$AM$2=TRUE),VLOOKUP($A114,데이터입력!$A:$H,4,FALSE),""),"")</f>
        <v/>
      </c>
      <c r="E114" s="610" t="str">
        <f>IFERROR(IF(AND(데이터입력!$AE$2="추경",데이터입력!$AM$2=TRUE),VLOOKUP($A114,데이터입력!$A:$H,2,FALSE),""),"")</f>
        <v/>
      </c>
      <c r="F114" s="610" t="str">
        <f>IFERROR(IF(AND(데이터입력!$AE$2="추경",데이터입력!$AM$2=TRUE),VLOOKUP($A114,데이터입력!$A:$H,5,FALSE),""),"")</f>
        <v/>
      </c>
      <c r="G114" s="610" t="str">
        <f>IFERROR(IF(AND(데이터입력!$AE$2="추경",데이터입력!$AM$2=TRUE),VLOOKUP($A114,데이터입력!$A:$H,6,FALSE),""),"")</f>
        <v/>
      </c>
      <c r="H114" s="611" t="str">
        <f>IFERROR(IF(AND(데이터입력!$AE$2="추경",데이터입력!$AM$2=TRUE),VLOOKUP($A114,데이터입력!$A:$L,7,FALSE),""),"")</f>
        <v/>
      </c>
      <c r="I114" s="611" t="str">
        <f>IFERROR(IF(AND(데이터입력!$AE$2="추경",데이터입력!$AM$2=TRUE),VLOOKUP($A114,데이터입력!$A:$L,8,FALSE)+VLOOKUP($A114,데이터입력!$A:$L,9,FALSE)+VLOOKUP($A114,데이터입력!$A:$L,10,FALSE),""),"")</f>
        <v/>
      </c>
      <c r="J114" s="612" t="s">
        <v>135</v>
      </c>
      <c r="K114" s="612" t="s">
        <v>135</v>
      </c>
      <c r="L114" s="612" t="s">
        <v>135</v>
      </c>
      <c r="M114" s="604"/>
      <c r="N114" s="180">
        <v>312</v>
      </c>
      <c r="O114" s="616" t="str">
        <f>IFERROR(IF(S114="06",데이터입력!$AB$8,IF(S114="07",데이터입력!$AD$8,IF(S114="05",데이터입력!$AF$8,데이터입력!$AB$8))),데이터입력!$AB$8)</f>
        <v>00</v>
      </c>
      <c r="P114" s="617" t="str">
        <f>데이터입력!$AC$9</f>
        <v>일반사업[일반]</v>
      </c>
      <c r="Q114" s="618" t="str">
        <f>IFERROR(IF(데이터입력!$AE$2="추경",VLOOKUP($N114,데이터입력!$A:$H,4,FALSE),""),"")</f>
        <v/>
      </c>
      <c r="R114" s="618" t="str">
        <f>IFERROR(IF(데이터입력!$AE$2="추경",VLOOKUP($N114,데이터입력!$A:$H,2,FALSE),""),"")</f>
        <v/>
      </c>
      <c r="S114" s="618" t="str">
        <f>IFERROR(IF(데이터입력!$AE$2="추경",VLOOKUP($N114,데이터입력!$A:$H,5,FALSE),""),"")</f>
        <v/>
      </c>
      <c r="T114" s="618" t="str">
        <f>IFERROR(IF(데이터입력!$AE$2="추경",VLOOKUP($N114,데이터입력!$A:$H,6,FALSE),""),"")</f>
        <v/>
      </c>
      <c r="U114" s="619" t="str">
        <f>IFERROR(IF(데이터입력!$AE$2="추경",VLOOKUP($N114,데이터입력!$A:$L,8,FALSE)+VLOOKUP($N114,데이터입력!$A:$L,9,FALSE)+VLOOKUP($N114,데이터입력!$A:$L,10,FALSE),""),"")</f>
        <v/>
      </c>
      <c r="V114" s="620" t="s">
        <v>135</v>
      </c>
      <c r="W114" s="620" t="s">
        <v>135</v>
      </c>
      <c r="X114" s="620" t="s">
        <v>135</v>
      </c>
      <c r="Y114" s="601"/>
      <c r="Z114" s="182" t="str">
        <f>데이터입력!$AB$8</f>
        <v>00</v>
      </c>
      <c r="AA114" s="185" t="str">
        <f>데이터입력!$AC$9</f>
        <v>일반사업[일반]</v>
      </c>
      <c r="AB114" s="183" t="str">
        <f>IFERROR(IF(데이터입력!$AE$2="추경",VLOOKUP($A114,#REF!,4,FALSE),""),"")</f>
        <v/>
      </c>
      <c r="AC114" s="183" t="str">
        <f>IFERROR(IF(데이터입력!$AE$2="추경",VLOOKUP($A114,#REF!,5,FALSE),""),"")</f>
        <v/>
      </c>
      <c r="AD114" s="183" t="str">
        <f>IFERROR(IF(데이터입력!$AE$2="추경",VLOOKUP($A114,#REF!,6,FALSE),""),"")</f>
        <v/>
      </c>
      <c r="AE114" s="183" t="str">
        <f>IFERROR(IF(데이터입력!$AE$2="추경",VLOOKUP($A114,#REF!,7,FALSE),""),"")</f>
        <v/>
      </c>
      <c r="AF114" s="183"/>
      <c r="AG114" s="184" t="str">
        <f>IFERROR(IF(데이터입력!$AE$2="추경",VLOOKUP($A114,#REF!,9,FALSE),""),"")</f>
        <v/>
      </c>
      <c r="AH114" s="184" t="str">
        <f>IFERROR(IF(데이터입력!$AE$2="추경",VLOOKUP($A114,#REF!,10,FALSE),""),"")</f>
        <v/>
      </c>
      <c r="AI114" s="184" t="str">
        <f>IFERROR(IF(데이터입력!$AE$2="추경",VLOOKUP($A114,#REF!,11,FALSE),""),"")</f>
        <v/>
      </c>
      <c r="AJ114" s="184" t="str">
        <f>IFERROR(IF(데이터입력!$AE$2="추경",VLOOKUP($A114,#REF!,12,FALSE),""),"")</f>
        <v/>
      </c>
      <c r="AK114" s="184" t="str">
        <f>IFERROR(IF(데이터입력!$AE$2="추경",VLOOKUP($A114,#REF!,13,FALSE),""),"")</f>
        <v/>
      </c>
    </row>
    <row r="115" spans="1:37">
      <c r="A115" s="180">
        <v>113</v>
      </c>
      <c r="B115" s="608" t="str">
        <f>IFERROR(IF(F115="06",데이터입력!$AB$8,IF(F115="07",데이터입력!$AD$8,IF(F115="05",데이터입력!$AF$8,데이터입력!$AB$8))),데이터입력!$AB$8)</f>
        <v>00</v>
      </c>
      <c r="C115" s="609" t="str">
        <f>데이터입력!$AC$9</f>
        <v>일반사업[일반]</v>
      </c>
      <c r="D115" s="610" t="str">
        <f>IFERROR(IF(AND(데이터입력!$AE$2="추경",데이터입력!$AM$2=TRUE),VLOOKUP($A115,데이터입력!$A:$H,4,FALSE),""),"")</f>
        <v/>
      </c>
      <c r="E115" s="610" t="str">
        <f>IFERROR(IF(AND(데이터입력!$AE$2="추경",데이터입력!$AM$2=TRUE),VLOOKUP($A115,데이터입력!$A:$H,2,FALSE),""),"")</f>
        <v/>
      </c>
      <c r="F115" s="610" t="str">
        <f>IFERROR(IF(AND(데이터입력!$AE$2="추경",데이터입력!$AM$2=TRUE),VLOOKUP($A115,데이터입력!$A:$H,5,FALSE),""),"")</f>
        <v/>
      </c>
      <c r="G115" s="610" t="str">
        <f>IFERROR(IF(AND(데이터입력!$AE$2="추경",데이터입력!$AM$2=TRUE),VLOOKUP($A115,데이터입력!$A:$H,6,FALSE),""),"")</f>
        <v/>
      </c>
      <c r="H115" s="611" t="str">
        <f>IFERROR(IF(AND(데이터입력!$AE$2="추경",데이터입력!$AM$2=TRUE),VLOOKUP($A115,데이터입력!$A:$L,7,FALSE),""),"")</f>
        <v/>
      </c>
      <c r="I115" s="611" t="str">
        <f>IFERROR(IF(AND(데이터입력!$AE$2="추경",데이터입력!$AM$2=TRUE),VLOOKUP($A115,데이터입력!$A:$L,8,FALSE)+VLOOKUP($A115,데이터입력!$A:$L,9,FALSE)+VLOOKUP($A115,데이터입력!$A:$L,10,FALSE),""),"")</f>
        <v/>
      </c>
      <c r="J115" s="612" t="s">
        <v>135</v>
      </c>
      <c r="K115" s="612" t="s">
        <v>135</v>
      </c>
      <c r="L115" s="612" t="s">
        <v>135</v>
      </c>
      <c r="M115" s="604"/>
      <c r="N115" s="180">
        <v>313</v>
      </c>
      <c r="O115" s="616" t="str">
        <f>IFERROR(IF(S115="06",데이터입력!$AB$8,IF(S115="07",데이터입력!$AD$8,IF(S115="05",데이터입력!$AF$8,데이터입력!$AB$8))),데이터입력!$AB$8)</f>
        <v>00</v>
      </c>
      <c r="P115" s="617" t="str">
        <f>데이터입력!$AC$9</f>
        <v>일반사업[일반]</v>
      </c>
      <c r="Q115" s="618" t="str">
        <f>IFERROR(IF(데이터입력!$AE$2="추경",VLOOKUP($N115,데이터입력!$A:$H,4,FALSE),""),"")</f>
        <v/>
      </c>
      <c r="R115" s="618" t="str">
        <f>IFERROR(IF(데이터입력!$AE$2="추경",VLOOKUP($N115,데이터입력!$A:$H,2,FALSE),""),"")</f>
        <v/>
      </c>
      <c r="S115" s="618" t="str">
        <f>IFERROR(IF(데이터입력!$AE$2="추경",VLOOKUP($N115,데이터입력!$A:$H,5,FALSE),""),"")</f>
        <v/>
      </c>
      <c r="T115" s="618" t="str">
        <f>IFERROR(IF(데이터입력!$AE$2="추경",VLOOKUP($N115,데이터입력!$A:$H,6,FALSE),""),"")</f>
        <v/>
      </c>
      <c r="U115" s="619" t="str">
        <f>IFERROR(IF(데이터입력!$AE$2="추경",VLOOKUP($N115,데이터입력!$A:$L,8,FALSE)+VLOOKUP($N115,데이터입력!$A:$L,9,FALSE)+VLOOKUP($N115,데이터입력!$A:$L,10,FALSE),""),"")</f>
        <v/>
      </c>
      <c r="V115" s="620" t="s">
        <v>135</v>
      </c>
      <c r="W115" s="620" t="s">
        <v>135</v>
      </c>
      <c r="X115" s="620" t="s">
        <v>135</v>
      </c>
      <c r="Y115" s="601"/>
      <c r="Z115" s="182" t="str">
        <f>데이터입력!$AB$8</f>
        <v>00</v>
      </c>
      <c r="AA115" s="185" t="str">
        <f>데이터입력!$AC$9</f>
        <v>일반사업[일반]</v>
      </c>
      <c r="AB115" s="183" t="str">
        <f>IFERROR(IF(데이터입력!$AE$2="추경",VLOOKUP($A115,#REF!,4,FALSE),""),"")</f>
        <v/>
      </c>
      <c r="AC115" s="183" t="str">
        <f>IFERROR(IF(데이터입력!$AE$2="추경",VLOOKUP($A115,#REF!,5,FALSE),""),"")</f>
        <v/>
      </c>
      <c r="AD115" s="183" t="str">
        <f>IFERROR(IF(데이터입력!$AE$2="추경",VLOOKUP($A115,#REF!,6,FALSE),""),"")</f>
        <v/>
      </c>
      <c r="AE115" s="183" t="str">
        <f>IFERROR(IF(데이터입력!$AE$2="추경",VLOOKUP($A115,#REF!,7,FALSE),""),"")</f>
        <v/>
      </c>
      <c r="AF115" s="183"/>
      <c r="AG115" s="184" t="str">
        <f>IFERROR(IF(데이터입력!$AE$2="추경",VLOOKUP($A115,#REF!,9,FALSE),""),"")</f>
        <v/>
      </c>
      <c r="AH115" s="184" t="str">
        <f>IFERROR(IF(데이터입력!$AE$2="추경",VLOOKUP($A115,#REF!,10,FALSE),""),"")</f>
        <v/>
      </c>
      <c r="AI115" s="184" t="str">
        <f>IFERROR(IF(데이터입력!$AE$2="추경",VLOOKUP($A115,#REF!,11,FALSE),""),"")</f>
        <v/>
      </c>
      <c r="AJ115" s="184" t="str">
        <f>IFERROR(IF(데이터입력!$AE$2="추경",VLOOKUP($A115,#REF!,12,FALSE),""),"")</f>
        <v/>
      </c>
      <c r="AK115" s="184" t="str">
        <f>IFERROR(IF(데이터입력!$AE$2="추경",VLOOKUP($A115,#REF!,13,FALSE),""),"")</f>
        <v/>
      </c>
    </row>
    <row r="116" spans="1:37">
      <c r="A116" s="180">
        <v>114</v>
      </c>
      <c r="B116" s="608" t="str">
        <f>IFERROR(IF(F116="06",데이터입력!$AB$8,IF(F116="07",데이터입력!$AD$8,IF(F116="05",데이터입력!$AF$8,데이터입력!$AB$8))),데이터입력!$AB$8)</f>
        <v>00</v>
      </c>
      <c r="C116" s="609" t="str">
        <f>데이터입력!$AC$9</f>
        <v>일반사업[일반]</v>
      </c>
      <c r="D116" s="610" t="str">
        <f>IFERROR(IF(AND(데이터입력!$AE$2="추경",데이터입력!$AM$2=TRUE),VLOOKUP($A116,데이터입력!$A:$H,4,FALSE),""),"")</f>
        <v/>
      </c>
      <c r="E116" s="610" t="str">
        <f>IFERROR(IF(AND(데이터입력!$AE$2="추경",데이터입력!$AM$2=TRUE),VLOOKUP($A116,데이터입력!$A:$H,2,FALSE),""),"")</f>
        <v/>
      </c>
      <c r="F116" s="610" t="str">
        <f>IFERROR(IF(AND(데이터입력!$AE$2="추경",데이터입력!$AM$2=TRUE),VLOOKUP($A116,데이터입력!$A:$H,5,FALSE),""),"")</f>
        <v/>
      </c>
      <c r="G116" s="610" t="str">
        <f>IFERROR(IF(AND(데이터입력!$AE$2="추경",데이터입력!$AM$2=TRUE),VLOOKUP($A116,데이터입력!$A:$H,6,FALSE),""),"")</f>
        <v/>
      </c>
      <c r="H116" s="611" t="str">
        <f>IFERROR(IF(AND(데이터입력!$AE$2="추경",데이터입력!$AM$2=TRUE),VLOOKUP($A116,데이터입력!$A:$L,7,FALSE),""),"")</f>
        <v/>
      </c>
      <c r="I116" s="611" t="str">
        <f>IFERROR(IF(AND(데이터입력!$AE$2="추경",데이터입력!$AM$2=TRUE),VLOOKUP($A116,데이터입력!$A:$L,8,FALSE)+VLOOKUP($A116,데이터입력!$A:$L,9,FALSE)+VLOOKUP($A116,데이터입력!$A:$L,10,FALSE),""),"")</f>
        <v/>
      </c>
      <c r="J116" s="612" t="s">
        <v>135</v>
      </c>
      <c r="K116" s="612" t="s">
        <v>135</v>
      </c>
      <c r="L116" s="612" t="s">
        <v>135</v>
      </c>
      <c r="M116" s="604"/>
      <c r="N116" s="180">
        <v>314</v>
      </c>
      <c r="O116" s="616" t="str">
        <f>IFERROR(IF(S116="06",데이터입력!$AB$8,IF(S116="07",데이터입력!$AD$8,IF(S116="05",데이터입력!$AF$8,데이터입력!$AB$8))),데이터입력!$AB$8)</f>
        <v>00</v>
      </c>
      <c r="P116" s="617" t="str">
        <f>데이터입력!$AC$9</f>
        <v>일반사업[일반]</v>
      </c>
      <c r="Q116" s="618" t="str">
        <f>IFERROR(IF(데이터입력!$AE$2="추경",VLOOKUP($N116,데이터입력!$A:$H,4,FALSE),""),"")</f>
        <v/>
      </c>
      <c r="R116" s="618" t="str">
        <f>IFERROR(IF(데이터입력!$AE$2="추경",VLOOKUP($N116,데이터입력!$A:$H,2,FALSE),""),"")</f>
        <v/>
      </c>
      <c r="S116" s="618" t="str">
        <f>IFERROR(IF(데이터입력!$AE$2="추경",VLOOKUP($N116,데이터입력!$A:$H,5,FALSE),""),"")</f>
        <v/>
      </c>
      <c r="T116" s="618" t="str">
        <f>IFERROR(IF(데이터입력!$AE$2="추경",VLOOKUP($N116,데이터입력!$A:$H,6,FALSE),""),"")</f>
        <v/>
      </c>
      <c r="U116" s="619" t="str">
        <f>IFERROR(IF(데이터입력!$AE$2="추경",VLOOKUP($N116,데이터입력!$A:$L,8,FALSE)+VLOOKUP($N116,데이터입력!$A:$L,9,FALSE)+VLOOKUP($N116,데이터입력!$A:$L,10,FALSE),""),"")</f>
        <v/>
      </c>
      <c r="V116" s="620" t="s">
        <v>135</v>
      </c>
      <c r="W116" s="620" t="s">
        <v>135</v>
      </c>
      <c r="X116" s="620" t="s">
        <v>135</v>
      </c>
      <c r="Y116" s="601"/>
      <c r="Z116" s="182" t="str">
        <f>데이터입력!$AB$8</f>
        <v>00</v>
      </c>
      <c r="AA116" s="185" t="str">
        <f>데이터입력!$AC$9</f>
        <v>일반사업[일반]</v>
      </c>
      <c r="AB116" s="183" t="str">
        <f>IFERROR(IF(데이터입력!$AE$2="추경",VLOOKUP($A116,#REF!,4,FALSE),""),"")</f>
        <v/>
      </c>
      <c r="AC116" s="183" t="str">
        <f>IFERROR(IF(데이터입력!$AE$2="추경",VLOOKUP($A116,#REF!,5,FALSE),""),"")</f>
        <v/>
      </c>
      <c r="AD116" s="183" t="str">
        <f>IFERROR(IF(데이터입력!$AE$2="추경",VLOOKUP($A116,#REF!,6,FALSE),""),"")</f>
        <v/>
      </c>
      <c r="AE116" s="183" t="str">
        <f>IFERROR(IF(데이터입력!$AE$2="추경",VLOOKUP($A116,#REF!,7,FALSE),""),"")</f>
        <v/>
      </c>
      <c r="AF116" s="183"/>
      <c r="AG116" s="184" t="str">
        <f>IFERROR(IF(데이터입력!$AE$2="추경",VLOOKUP($A116,#REF!,9,FALSE),""),"")</f>
        <v/>
      </c>
      <c r="AH116" s="184" t="str">
        <f>IFERROR(IF(데이터입력!$AE$2="추경",VLOOKUP($A116,#REF!,10,FALSE),""),"")</f>
        <v/>
      </c>
      <c r="AI116" s="184" t="str">
        <f>IFERROR(IF(데이터입력!$AE$2="추경",VLOOKUP($A116,#REF!,11,FALSE),""),"")</f>
        <v/>
      </c>
      <c r="AJ116" s="184" t="str">
        <f>IFERROR(IF(데이터입력!$AE$2="추경",VLOOKUP($A116,#REF!,12,FALSE),""),"")</f>
        <v/>
      </c>
      <c r="AK116" s="184" t="str">
        <f>IFERROR(IF(데이터입력!$AE$2="추경",VLOOKUP($A116,#REF!,13,FALSE),""),"")</f>
        <v/>
      </c>
    </row>
    <row r="117" spans="1:37">
      <c r="A117" s="180">
        <v>115</v>
      </c>
      <c r="B117" s="608" t="str">
        <f>IFERROR(IF(F117="06",데이터입력!$AB$8,IF(F117="07",데이터입력!$AD$8,IF(F117="05",데이터입력!$AF$8,데이터입력!$AB$8))),데이터입력!$AB$8)</f>
        <v>00</v>
      </c>
      <c r="C117" s="609" t="str">
        <f>데이터입력!$AC$9</f>
        <v>일반사업[일반]</v>
      </c>
      <c r="D117" s="610" t="str">
        <f>IFERROR(IF(AND(데이터입력!$AE$2="추경",데이터입력!$AM$2=TRUE),VLOOKUP($A117,데이터입력!$A:$H,4,FALSE),""),"")</f>
        <v/>
      </c>
      <c r="E117" s="610" t="str">
        <f>IFERROR(IF(AND(데이터입력!$AE$2="추경",데이터입력!$AM$2=TRUE),VLOOKUP($A117,데이터입력!$A:$H,2,FALSE),""),"")</f>
        <v/>
      </c>
      <c r="F117" s="610" t="str">
        <f>IFERROR(IF(AND(데이터입력!$AE$2="추경",데이터입력!$AM$2=TRUE),VLOOKUP($A117,데이터입력!$A:$H,5,FALSE),""),"")</f>
        <v/>
      </c>
      <c r="G117" s="610" t="str">
        <f>IFERROR(IF(AND(데이터입력!$AE$2="추경",데이터입력!$AM$2=TRUE),VLOOKUP($A117,데이터입력!$A:$H,6,FALSE),""),"")</f>
        <v/>
      </c>
      <c r="H117" s="611" t="str">
        <f>IFERROR(IF(AND(데이터입력!$AE$2="추경",데이터입력!$AM$2=TRUE),VLOOKUP($A117,데이터입력!$A:$L,7,FALSE),""),"")</f>
        <v/>
      </c>
      <c r="I117" s="611" t="str">
        <f>IFERROR(IF(AND(데이터입력!$AE$2="추경",데이터입력!$AM$2=TRUE),VLOOKUP($A117,데이터입력!$A:$L,8,FALSE)+VLOOKUP($A117,데이터입력!$A:$L,9,FALSE)+VLOOKUP($A117,데이터입력!$A:$L,10,FALSE),""),"")</f>
        <v/>
      </c>
      <c r="J117" s="612" t="s">
        <v>135</v>
      </c>
      <c r="K117" s="612" t="s">
        <v>135</v>
      </c>
      <c r="L117" s="612" t="s">
        <v>135</v>
      </c>
      <c r="M117" s="604"/>
      <c r="N117" s="180">
        <v>315</v>
      </c>
      <c r="O117" s="616" t="str">
        <f>IFERROR(IF(S117="06",데이터입력!$AB$8,IF(S117="07",데이터입력!$AD$8,IF(S117="05",데이터입력!$AF$8,데이터입력!$AB$8))),데이터입력!$AB$8)</f>
        <v>00</v>
      </c>
      <c r="P117" s="617" t="str">
        <f>데이터입력!$AC$9</f>
        <v>일반사업[일반]</v>
      </c>
      <c r="Q117" s="618" t="str">
        <f>IFERROR(IF(데이터입력!$AE$2="추경",VLOOKUP($N117,데이터입력!$A:$H,4,FALSE),""),"")</f>
        <v/>
      </c>
      <c r="R117" s="618" t="str">
        <f>IFERROR(IF(데이터입력!$AE$2="추경",VLOOKUP($N117,데이터입력!$A:$H,2,FALSE),""),"")</f>
        <v/>
      </c>
      <c r="S117" s="618" t="str">
        <f>IFERROR(IF(데이터입력!$AE$2="추경",VLOOKUP($N117,데이터입력!$A:$H,5,FALSE),""),"")</f>
        <v/>
      </c>
      <c r="T117" s="618" t="str">
        <f>IFERROR(IF(데이터입력!$AE$2="추경",VLOOKUP($N117,데이터입력!$A:$H,6,FALSE),""),"")</f>
        <v/>
      </c>
      <c r="U117" s="619" t="str">
        <f>IFERROR(IF(데이터입력!$AE$2="추경",VLOOKUP($N117,데이터입력!$A:$L,8,FALSE)+VLOOKUP($N117,데이터입력!$A:$L,9,FALSE)+VLOOKUP($N117,데이터입력!$A:$L,10,FALSE),""),"")</f>
        <v/>
      </c>
      <c r="V117" s="620" t="s">
        <v>135</v>
      </c>
      <c r="W117" s="620" t="s">
        <v>135</v>
      </c>
      <c r="X117" s="620" t="s">
        <v>135</v>
      </c>
      <c r="Y117" s="601"/>
      <c r="Z117" s="182" t="str">
        <f>데이터입력!$AB$8</f>
        <v>00</v>
      </c>
      <c r="AA117" s="185" t="str">
        <f>데이터입력!$AC$9</f>
        <v>일반사업[일반]</v>
      </c>
      <c r="AB117" s="183" t="str">
        <f>IFERROR(IF(데이터입력!$AE$2="추경",VLOOKUP($A117,#REF!,4,FALSE),""),"")</f>
        <v/>
      </c>
      <c r="AC117" s="183" t="str">
        <f>IFERROR(IF(데이터입력!$AE$2="추경",VLOOKUP($A117,#REF!,5,FALSE),""),"")</f>
        <v/>
      </c>
      <c r="AD117" s="183" t="str">
        <f>IFERROR(IF(데이터입력!$AE$2="추경",VLOOKUP($A117,#REF!,6,FALSE),""),"")</f>
        <v/>
      </c>
      <c r="AE117" s="183" t="str">
        <f>IFERROR(IF(데이터입력!$AE$2="추경",VLOOKUP($A117,#REF!,7,FALSE),""),"")</f>
        <v/>
      </c>
      <c r="AF117" s="183"/>
      <c r="AG117" s="184" t="str">
        <f>IFERROR(IF(데이터입력!$AE$2="추경",VLOOKUP($A117,#REF!,9,FALSE),""),"")</f>
        <v/>
      </c>
      <c r="AH117" s="184" t="str">
        <f>IFERROR(IF(데이터입력!$AE$2="추경",VLOOKUP($A117,#REF!,10,FALSE),""),"")</f>
        <v/>
      </c>
      <c r="AI117" s="184" t="str">
        <f>IFERROR(IF(데이터입력!$AE$2="추경",VLOOKUP($A117,#REF!,11,FALSE),""),"")</f>
        <v/>
      </c>
      <c r="AJ117" s="184" t="str">
        <f>IFERROR(IF(데이터입력!$AE$2="추경",VLOOKUP($A117,#REF!,12,FALSE),""),"")</f>
        <v/>
      </c>
      <c r="AK117" s="184" t="str">
        <f>IFERROR(IF(데이터입력!$AE$2="추경",VLOOKUP($A117,#REF!,13,FALSE),""),"")</f>
        <v/>
      </c>
    </row>
    <row r="118" spans="1:37">
      <c r="A118" s="180">
        <v>116</v>
      </c>
      <c r="B118" s="608" t="str">
        <f>IFERROR(IF(F118="06",데이터입력!$AB$8,IF(F118="07",데이터입력!$AD$8,IF(F118="05",데이터입력!$AF$8,데이터입력!$AB$8))),데이터입력!$AB$8)</f>
        <v>00</v>
      </c>
      <c r="C118" s="609" t="str">
        <f>데이터입력!$AC$9</f>
        <v>일반사업[일반]</v>
      </c>
      <c r="D118" s="610" t="str">
        <f>IFERROR(IF(AND(데이터입력!$AE$2="추경",데이터입력!$AM$2=TRUE),VLOOKUP($A118,데이터입력!$A:$H,4,FALSE),""),"")</f>
        <v/>
      </c>
      <c r="E118" s="610" t="str">
        <f>IFERROR(IF(AND(데이터입력!$AE$2="추경",데이터입력!$AM$2=TRUE),VLOOKUP($A118,데이터입력!$A:$H,2,FALSE),""),"")</f>
        <v/>
      </c>
      <c r="F118" s="610" t="str">
        <f>IFERROR(IF(AND(데이터입력!$AE$2="추경",데이터입력!$AM$2=TRUE),VLOOKUP($A118,데이터입력!$A:$H,5,FALSE),""),"")</f>
        <v/>
      </c>
      <c r="G118" s="610" t="str">
        <f>IFERROR(IF(AND(데이터입력!$AE$2="추경",데이터입력!$AM$2=TRUE),VLOOKUP($A118,데이터입력!$A:$H,6,FALSE),""),"")</f>
        <v/>
      </c>
      <c r="H118" s="611" t="str">
        <f>IFERROR(IF(AND(데이터입력!$AE$2="추경",데이터입력!$AM$2=TRUE),VLOOKUP($A118,데이터입력!$A:$L,7,FALSE),""),"")</f>
        <v/>
      </c>
      <c r="I118" s="611" t="str">
        <f>IFERROR(IF(AND(데이터입력!$AE$2="추경",데이터입력!$AM$2=TRUE),VLOOKUP($A118,데이터입력!$A:$L,8,FALSE)+VLOOKUP($A118,데이터입력!$A:$L,9,FALSE)+VLOOKUP($A118,데이터입력!$A:$L,10,FALSE),""),"")</f>
        <v/>
      </c>
      <c r="J118" s="612" t="s">
        <v>135</v>
      </c>
      <c r="K118" s="612" t="s">
        <v>135</v>
      </c>
      <c r="L118" s="612" t="s">
        <v>135</v>
      </c>
      <c r="M118" s="604"/>
      <c r="N118" s="180">
        <v>316</v>
      </c>
      <c r="O118" s="616" t="str">
        <f>IFERROR(IF(S118="06",데이터입력!$AB$8,IF(S118="07",데이터입력!$AD$8,IF(S118="05",데이터입력!$AF$8,데이터입력!$AB$8))),데이터입력!$AB$8)</f>
        <v>00</v>
      </c>
      <c r="P118" s="617" t="str">
        <f>데이터입력!$AC$9</f>
        <v>일반사업[일반]</v>
      </c>
      <c r="Q118" s="618" t="str">
        <f>IFERROR(IF(데이터입력!$AE$2="추경",VLOOKUP($N118,데이터입력!$A:$H,4,FALSE),""),"")</f>
        <v/>
      </c>
      <c r="R118" s="618" t="str">
        <f>IFERROR(IF(데이터입력!$AE$2="추경",VLOOKUP($N118,데이터입력!$A:$H,2,FALSE),""),"")</f>
        <v/>
      </c>
      <c r="S118" s="618" t="str">
        <f>IFERROR(IF(데이터입력!$AE$2="추경",VLOOKUP($N118,데이터입력!$A:$H,5,FALSE),""),"")</f>
        <v/>
      </c>
      <c r="T118" s="618" t="str">
        <f>IFERROR(IF(데이터입력!$AE$2="추경",VLOOKUP($N118,데이터입력!$A:$H,6,FALSE),""),"")</f>
        <v/>
      </c>
      <c r="U118" s="619" t="str">
        <f>IFERROR(IF(데이터입력!$AE$2="추경",VLOOKUP($N118,데이터입력!$A:$L,8,FALSE)+VLOOKUP($N118,데이터입력!$A:$L,9,FALSE)+VLOOKUP($N118,데이터입력!$A:$L,10,FALSE),""),"")</f>
        <v/>
      </c>
      <c r="V118" s="620" t="s">
        <v>135</v>
      </c>
      <c r="W118" s="620" t="s">
        <v>135</v>
      </c>
      <c r="X118" s="620" t="s">
        <v>135</v>
      </c>
      <c r="Y118" s="601"/>
      <c r="Z118" s="182" t="str">
        <f>데이터입력!$AB$8</f>
        <v>00</v>
      </c>
      <c r="AA118" s="185" t="str">
        <f>데이터입력!$AC$9</f>
        <v>일반사업[일반]</v>
      </c>
      <c r="AB118" s="183" t="str">
        <f>IFERROR(IF(데이터입력!$AE$2="추경",VLOOKUP($A118,#REF!,4,FALSE),""),"")</f>
        <v/>
      </c>
      <c r="AC118" s="183" t="str">
        <f>IFERROR(IF(데이터입력!$AE$2="추경",VLOOKUP($A118,#REF!,5,FALSE),""),"")</f>
        <v/>
      </c>
      <c r="AD118" s="183" t="str">
        <f>IFERROR(IF(데이터입력!$AE$2="추경",VLOOKUP($A118,#REF!,6,FALSE),""),"")</f>
        <v/>
      </c>
      <c r="AE118" s="183" t="str">
        <f>IFERROR(IF(데이터입력!$AE$2="추경",VLOOKUP($A118,#REF!,7,FALSE),""),"")</f>
        <v/>
      </c>
      <c r="AF118" s="183"/>
      <c r="AG118" s="184" t="str">
        <f>IFERROR(IF(데이터입력!$AE$2="추경",VLOOKUP($A118,#REF!,9,FALSE),""),"")</f>
        <v/>
      </c>
      <c r="AH118" s="184" t="str">
        <f>IFERROR(IF(데이터입력!$AE$2="추경",VLOOKUP($A118,#REF!,10,FALSE),""),"")</f>
        <v/>
      </c>
      <c r="AI118" s="184" t="str">
        <f>IFERROR(IF(데이터입력!$AE$2="추경",VLOOKUP($A118,#REF!,11,FALSE),""),"")</f>
        <v/>
      </c>
      <c r="AJ118" s="184" t="str">
        <f>IFERROR(IF(데이터입력!$AE$2="추경",VLOOKUP($A118,#REF!,12,FALSE),""),"")</f>
        <v/>
      </c>
      <c r="AK118" s="184" t="str">
        <f>IFERROR(IF(데이터입력!$AE$2="추경",VLOOKUP($A118,#REF!,13,FALSE),""),"")</f>
        <v/>
      </c>
    </row>
    <row r="119" spans="1:37">
      <c r="A119" s="180">
        <v>117</v>
      </c>
      <c r="B119" s="608" t="str">
        <f>IFERROR(IF(F119="06",데이터입력!$AB$8,IF(F119="07",데이터입력!$AD$8,IF(F119="05",데이터입력!$AF$8,데이터입력!$AB$8))),데이터입력!$AB$8)</f>
        <v>00</v>
      </c>
      <c r="C119" s="609" t="str">
        <f>데이터입력!$AC$9</f>
        <v>일반사업[일반]</v>
      </c>
      <c r="D119" s="610" t="str">
        <f>IFERROR(IF(AND(데이터입력!$AE$2="추경",데이터입력!$AM$2=TRUE),VLOOKUP($A119,데이터입력!$A:$H,4,FALSE),""),"")</f>
        <v/>
      </c>
      <c r="E119" s="610" t="str">
        <f>IFERROR(IF(AND(데이터입력!$AE$2="추경",데이터입력!$AM$2=TRUE),VLOOKUP($A119,데이터입력!$A:$H,2,FALSE),""),"")</f>
        <v/>
      </c>
      <c r="F119" s="610" t="str">
        <f>IFERROR(IF(AND(데이터입력!$AE$2="추경",데이터입력!$AM$2=TRUE),VLOOKUP($A119,데이터입력!$A:$H,5,FALSE),""),"")</f>
        <v/>
      </c>
      <c r="G119" s="610" t="str">
        <f>IFERROR(IF(AND(데이터입력!$AE$2="추경",데이터입력!$AM$2=TRUE),VLOOKUP($A119,데이터입력!$A:$H,6,FALSE),""),"")</f>
        <v/>
      </c>
      <c r="H119" s="611" t="str">
        <f>IFERROR(IF(AND(데이터입력!$AE$2="추경",데이터입력!$AM$2=TRUE),VLOOKUP($A119,데이터입력!$A:$L,7,FALSE),""),"")</f>
        <v/>
      </c>
      <c r="I119" s="611" t="str">
        <f>IFERROR(IF(AND(데이터입력!$AE$2="추경",데이터입력!$AM$2=TRUE),VLOOKUP($A119,데이터입력!$A:$L,8,FALSE)+VLOOKUP($A119,데이터입력!$A:$L,9,FALSE)+VLOOKUP($A119,데이터입력!$A:$L,10,FALSE),""),"")</f>
        <v/>
      </c>
      <c r="J119" s="612" t="s">
        <v>135</v>
      </c>
      <c r="K119" s="612" t="s">
        <v>135</v>
      </c>
      <c r="L119" s="612" t="s">
        <v>135</v>
      </c>
      <c r="M119" s="604"/>
      <c r="N119" s="180">
        <v>317</v>
      </c>
      <c r="O119" s="616" t="str">
        <f>IFERROR(IF(S119="06",데이터입력!$AB$8,IF(S119="07",데이터입력!$AD$8,IF(S119="05",데이터입력!$AF$8,데이터입력!$AB$8))),데이터입력!$AB$8)</f>
        <v>00</v>
      </c>
      <c r="P119" s="617" t="str">
        <f>데이터입력!$AC$9</f>
        <v>일반사업[일반]</v>
      </c>
      <c r="Q119" s="618" t="str">
        <f>IFERROR(IF(데이터입력!$AE$2="추경",VLOOKUP($N119,데이터입력!$A:$H,4,FALSE),""),"")</f>
        <v/>
      </c>
      <c r="R119" s="618" t="str">
        <f>IFERROR(IF(데이터입력!$AE$2="추경",VLOOKUP($N119,데이터입력!$A:$H,2,FALSE),""),"")</f>
        <v/>
      </c>
      <c r="S119" s="618" t="str">
        <f>IFERROR(IF(데이터입력!$AE$2="추경",VLOOKUP($N119,데이터입력!$A:$H,5,FALSE),""),"")</f>
        <v/>
      </c>
      <c r="T119" s="618" t="str">
        <f>IFERROR(IF(데이터입력!$AE$2="추경",VLOOKUP($N119,데이터입력!$A:$H,6,FALSE),""),"")</f>
        <v/>
      </c>
      <c r="U119" s="619" t="str">
        <f>IFERROR(IF(데이터입력!$AE$2="추경",VLOOKUP($N119,데이터입력!$A:$L,8,FALSE)+VLOOKUP($N119,데이터입력!$A:$L,9,FALSE)+VLOOKUP($N119,데이터입력!$A:$L,10,FALSE),""),"")</f>
        <v/>
      </c>
      <c r="V119" s="620" t="s">
        <v>135</v>
      </c>
      <c r="W119" s="620" t="s">
        <v>135</v>
      </c>
      <c r="X119" s="620" t="s">
        <v>135</v>
      </c>
      <c r="Y119" s="601"/>
      <c r="Z119" s="182" t="str">
        <f>데이터입력!$AB$8</f>
        <v>00</v>
      </c>
      <c r="AA119" s="185" t="str">
        <f>데이터입력!$AC$9</f>
        <v>일반사업[일반]</v>
      </c>
      <c r="AB119" s="183" t="str">
        <f>IFERROR(IF(데이터입력!$AE$2="추경",VLOOKUP($A119,#REF!,4,FALSE),""),"")</f>
        <v/>
      </c>
      <c r="AC119" s="183" t="str">
        <f>IFERROR(IF(데이터입력!$AE$2="추경",VLOOKUP($A119,#REF!,5,FALSE),""),"")</f>
        <v/>
      </c>
      <c r="AD119" s="183" t="str">
        <f>IFERROR(IF(데이터입력!$AE$2="추경",VLOOKUP($A119,#REF!,6,FALSE),""),"")</f>
        <v/>
      </c>
      <c r="AE119" s="183" t="str">
        <f>IFERROR(IF(데이터입력!$AE$2="추경",VLOOKUP($A119,#REF!,7,FALSE),""),"")</f>
        <v/>
      </c>
      <c r="AF119" s="183"/>
      <c r="AG119" s="184" t="str">
        <f>IFERROR(IF(데이터입력!$AE$2="추경",VLOOKUP($A119,#REF!,9,FALSE),""),"")</f>
        <v/>
      </c>
      <c r="AH119" s="184" t="str">
        <f>IFERROR(IF(데이터입력!$AE$2="추경",VLOOKUP($A119,#REF!,10,FALSE),""),"")</f>
        <v/>
      </c>
      <c r="AI119" s="184" t="str">
        <f>IFERROR(IF(데이터입력!$AE$2="추경",VLOOKUP($A119,#REF!,11,FALSE),""),"")</f>
        <v/>
      </c>
      <c r="AJ119" s="184" t="str">
        <f>IFERROR(IF(데이터입력!$AE$2="추경",VLOOKUP($A119,#REF!,12,FALSE),""),"")</f>
        <v/>
      </c>
      <c r="AK119" s="184" t="str">
        <f>IFERROR(IF(데이터입력!$AE$2="추경",VLOOKUP($A119,#REF!,13,FALSE),""),"")</f>
        <v/>
      </c>
    </row>
    <row r="120" spans="1:37">
      <c r="A120" s="180">
        <v>118</v>
      </c>
      <c r="B120" s="608" t="str">
        <f>IFERROR(IF(F120="06",데이터입력!$AB$8,IF(F120="07",데이터입력!$AD$8,IF(F120="05",데이터입력!$AF$8,데이터입력!$AB$8))),데이터입력!$AB$8)</f>
        <v>00</v>
      </c>
      <c r="C120" s="609" t="str">
        <f>데이터입력!$AC$9</f>
        <v>일반사업[일반]</v>
      </c>
      <c r="D120" s="610" t="str">
        <f>IFERROR(IF(AND(데이터입력!$AE$2="추경",데이터입력!$AM$2=TRUE),VLOOKUP($A120,데이터입력!$A:$H,4,FALSE),""),"")</f>
        <v/>
      </c>
      <c r="E120" s="610" t="str">
        <f>IFERROR(IF(AND(데이터입력!$AE$2="추경",데이터입력!$AM$2=TRUE),VLOOKUP($A120,데이터입력!$A:$H,2,FALSE),""),"")</f>
        <v/>
      </c>
      <c r="F120" s="610" t="str">
        <f>IFERROR(IF(AND(데이터입력!$AE$2="추경",데이터입력!$AM$2=TRUE),VLOOKUP($A120,데이터입력!$A:$H,5,FALSE),""),"")</f>
        <v/>
      </c>
      <c r="G120" s="610" t="str">
        <f>IFERROR(IF(AND(데이터입력!$AE$2="추경",데이터입력!$AM$2=TRUE),VLOOKUP($A120,데이터입력!$A:$H,6,FALSE),""),"")</f>
        <v/>
      </c>
      <c r="H120" s="611" t="str">
        <f>IFERROR(IF(AND(데이터입력!$AE$2="추경",데이터입력!$AM$2=TRUE),VLOOKUP($A120,데이터입력!$A:$L,7,FALSE),""),"")</f>
        <v/>
      </c>
      <c r="I120" s="611" t="str">
        <f>IFERROR(IF(AND(데이터입력!$AE$2="추경",데이터입력!$AM$2=TRUE),VLOOKUP($A120,데이터입력!$A:$L,8,FALSE)+VLOOKUP($A120,데이터입력!$A:$L,9,FALSE)+VLOOKUP($A120,데이터입력!$A:$L,10,FALSE),""),"")</f>
        <v/>
      </c>
      <c r="J120" s="612" t="s">
        <v>135</v>
      </c>
      <c r="K120" s="612" t="s">
        <v>135</v>
      </c>
      <c r="L120" s="612" t="s">
        <v>135</v>
      </c>
      <c r="M120" s="604"/>
      <c r="N120" s="180">
        <v>318</v>
      </c>
      <c r="O120" s="616" t="str">
        <f>IFERROR(IF(S120="06",데이터입력!$AB$8,IF(S120="07",데이터입력!$AD$8,IF(S120="05",데이터입력!$AF$8,데이터입력!$AB$8))),데이터입력!$AB$8)</f>
        <v>00</v>
      </c>
      <c r="P120" s="617" t="str">
        <f>데이터입력!$AC$9</f>
        <v>일반사업[일반]</v>
      </c>
      <c r="Q120" s="618" t="str">
        <f>IFERROR(IF(데이터입력!$AE$2="추경",VLOOKUP($N120,데이터입력!$A:$H,4,FALSE),""),"")</f>
        <v/>
      </c>
      <c r="R120" s="618" t="str">
        <f>IFERROR(IF(데이터입력!$AE$2="추경",VLOOKUP($N120,데이터입력!$A:$H,2,FALSE),""),"")</f>
        <v/>
      </c>
      <c r="S120" s="618" t="str">
        <f>IFERROR(IF(데이터입력!$AE$2="추경",VLOOKUP($N120,데이터입력!$A:$H,5,FALSE),""),"")</f>
        <v/>
      </c>
      <c r="T120" s="618" t="str">
        <f>IFERROR(IF(데이터입력!$AE$2="추경",VLOOKUP($N120,데이터입력!$A:$H,6,FALSE),""),"")</f>
        <v/>
      </c>
      <c r="U120" s="619" t="str">
        <f>IFERROR(IF(데이터입력!$AE$2="추경",VLOOKUP($N120,데이터입력!$A:$L,8,FALSE)+VLOOKUP($N120,데이터입력!$A:$L,9,FALSE)+VLOOKUP($N120,데이터입력!$A:$L,10,FALSE),""),"")</f>
        <v/>
      </c>
      <c r="V120" s="620" t="s">
        <v>135</v>
      </c>
      <c r="W120" s="620" t="s">
        <v>135</v>
      </c>
      <c r="X120" s="620" t="s">
        <v>135</v>
      </c>
      <c r="Y120" s="601"/>
      <c r="Z120" s="182" t="str">
        <f>데이터입력!$AB$8</f>
        <v>00</v>
      </c>
      <c r="AA120" s="185" t="str">
        <f>데이터입력!$AC$9</f>
        <v>일반사업[일반]</v>
      </c>
      <c r="AB120" s="183" t="str">
        <f>IFERROR(IF(데이터입력!$AE$2="추경",VLOOKUP($A120,#REF!,4,FALSE),""),"")</f>
        <v/>
      </c>
      <c r="AC120" s="183" t="str">
        <f>IFERROR(IF(데이터입력!$AE$2="추경",VLOOKUP($A120,#REF!,5,FALSE),""),"")</f>
        <v/>
      </c>
      <c r="AD120" s="183" t="str">
        <f>IFERROR(IF(데이터입력!$AE$2="추경",VLOOKUP($A120,#REF!,6,FALSE),""),"")</f>
        <v/>
      </c>
      <c r="AE120" s="183" t="str">
        <f>IFERROR(IF(데이터입력!$AE$2="추경",VLOOKUP($A120,#REF!,7,FALSE),""),"")</f>
        <v/>
      </c>
      <c r="AF120" s="183"/>
      <c r="AG120" s="184" t="str">
        <f>IFERROR(IF(데이터입력!$AE$2="추경",VLOOKUP($A120,#REF!,9,FALSE),""),"")</f>
        <v/>
      </c>
      <c r="AH120" s="184" t="str">
        <f>IFERROR(IF(데이터입력!$AE$2="추경",VLOOKUP($A120,#REF!,10,FALSE),""),"")</f>
        <v/>
      </c>
      <c r="AI120" s="184" t="str">
        <f>IFERROR(IF(데이터입력!$AE$2="추경",VLOOKUP($A120,#REF!,11,FALSE),""),"")</f>
        <v/>
      </c>
      <c r="AJ120" s="184" t="str">
        <f>IFERROR(IF(데이터입력!$AE$2="추경",VLOOKUP($A120,#REF!,12,FALSE),""),"")</f>
        <v/>
      </c>
      <c r="AK120" s="184" t="str">
        <f>IFERROR(IF(데이터입력!$AE$2="추경",VLOOKUP($A120,#REF!,13,FALSE),""),"")</f>
        <v/>
      </c>
    </row>
    <row r="121" spans="1:37">
      <c r="A121" s="180">
        <v>119</v>
      </c>
      <c r="B121" s="608" t="str">
        <f>IFERROR(IF(F121="06",데이터입력!$AB$8,IF(F121="07",데이터입력!$AD$8,IF(F121="05",데이터입력!$AF$8,데이터입력!$AB$8))),데이터입력!$AB$8)</f>
        <v>00</v>
      </c>
      <c r="C121" s="609" t="str">
        <f>데이터입력!$AC$9</f>
        <v>일반사업[일반]</v>
      </c>
      <c r="D121" s="610" t="str">
        <f>IFERROR(IF(AND(데이터입력!$AE$2="추경",데이터입력!$AM$2=TRUE),VLOOKUP($A121,데이터입력!$A:$H,4,FALSE),""),"")</f>
        <v/>
      </c>
      <c r="E121" s="610" t="str">
        <f>IFERROR(IF(AND(데이터입력!$AE$2="추경",데이터입력!$AM$2=TRUE),VLOOKUP($A121,데이터입력!$A:$H,2,FALSE),""),"")</f>
        <v/>
      </c>
      <c r="F121" s="610" t="str">
        <f>IFERROR(IF(AND(데이터입력!$AE$2="추경",데이터입력!$AM$2=TRUE),VLOOKUP($A121,데이터입력!$A:$H,5,FALSE),""),"")</f>
        <v/>
      </c>
      <c r="G121" s="610" t="str">
        <f>IFERROR(IF(AND(데이터입력!$AE$2="추경",데이터입력!$AM$2=TRUE),VLOOKUP($A121,데이터입력!$A:$H,6,FALSE),""),"")</f>
        <v/>
      </c>
      <c r="H121" s="611" t="str">
        <f>IFERROR(IF(AND(데이터입력!$AE$2="추경",데이터입력!$AM$2=TRUE),VLOOKUP($A121,데이터입력!$A:$L,7,FALSE),""),"")</f>
        <v/>
      </c>
      <c r="I121" s="611" t="str">
        <f>IFERROR(IF(AND(데이터입력!$AE$2="추경",데이터입력!$AM$2=TRUE),VLOOKUP($A121,데이터입력!$A:$L,8,FALSE)+VLOOKUP($A121,데이터입력!$A:$L,9,FALSE)+VLOOKUP($A121,데이터입력!$A:$L,10,FALSE),""),"")</f>
        <v/>
      </c>
      <c r="J121" s="612" t="s">
        <v>135</v>
      </c>
      <c r="K121" s="612" t="s">
        <v>135</v>
      </c>
      <c r="L121" s="612" t="s">
        <v>135</v>
      </c>
      <c r="M121" s="604"/>
      <c r="N121" s="180">
        <v>319</v>
      </c>
      <c r="O121" s="616" t="str">
        <f>IFERROR(IF(S121="06",데이터입력!$AB$8,IF(S121="07",데이터입력!$AD$8,IF(S121="05",데이터입력!$AF$8,데이터입력!$AB$8))),데이터입력!$AB$8)</f>
        <v>00</v>
      </c>
      <c r="P121" s="617" t="str">
        <f>데이터입력!$AC$9</f>
        <v>일반사업[일반]</v>
      </c>
      <c r="Q121" s="618" t="str">
        <f>IFERROR(IF(데이터입력!$AE$2="추경",VLOOKUP($N121,데이터입력!$A:$H,4,FALSE),""),"")</f>
        <v/>
      </c>
      <c r="R121" s="618" t="str">
        <f>IFERROR(IF(데이터입력!$AE$2="추경",VLOOKUP($N121,데이터입력!$A:$H,2,FALSE),""),"")</f>
        <v/>
      </c>
      <c r="S121" s="618" t="str">
        <f>IFERROR(IF(데이터입력!$AE$2="추경",VLOOKUP($N121,데이터입력!$A:$H,5,FALSE),""),"")</f>
        <v/>
      </c>
      <c r="T121" s="618" t="str">
        <f>IFERROR(IF(데이터입력!$AE$2="추경",VLOOKUP($N121,데이터입력!$A:$H,6,FALSE),""),"")</f>
        <v/>
      </c>
      <c r="U121" s="619" t="str">
        <f>IFERROR(IF(데이터입력!$AE$2="추경",VLOOKUP($N121,데이터입력!$A:$L,8,FALSE)+VLOOKUP($N121,데이터입력!$A:$L,9,FALSE)+VLOOKUP($N121,데이터입력!$A:$L,10,FALSE),""),"")</f>
        <v/>
      </c>
      <c r="V121" s="620" t="s">
        <v>135</v>
      </c>
      <c r="W121" s="620" t="s">
        <v>135</v>
      </c>
      <c r="X121" s="620" t="s">
        <v>135</v>
      </c>
      <c r="Y121" s="601"/>
      <c r="Z121" s="182" t="str">
        <f>데이터입력!$AB$8</f>
        <v>00</v>
      </c>
      <c r="AA121" s="185" t="str">
        <f>데이터입력!$AC$9</f>
        <v>일반사업[일반]</v>
      </c>
      <c r="AB121" s="183" t="str">
        <f>IFERROR(IF(데이터입력!$AE$2="추경",VLOOKUP($A121,#REF!,4,FALSE),""),"")</f>
        <v/>
      </c>
      <c r="AC121" s="183" t="str">
        <f>IFERROR(IF(데이터입력!$AE$2="추경",VLOOKUP($A121,#REF!,5,FALSE),""),"")</f>
        <v/>
      </c>
      <c r="AD121" s="183" t="str">
        <f>IFERROR(IF(데이터입력!$AE$2="추경",VLOOKUP($A121,#REF!,6,FALSE),""),"")</f>
        <v/>
      </c>
      <c r="AE121" s="183" t="str">
        <f>IFERROR(IF(데이터입력!$AE$2="추경",VLOOKUP($A121,#REF!,7,FALSE),""),"")</f>
        <v/>
      </c>
      <c r="AF121" s="183"/>
      <c r="AG121" s="184" t="str">
        <f>IFERROR(IF(데이터입력!$AE$2="추경",VLOOKUP($A121,#REF!,9,FALSE),""),"")</f>
        <v/>
      </c>
      <c r="AH121" s="184" t="str">
        <f>IFERROR(IF(데이터입력!$AE$2="추경",VLOOKUP($A121,#REF!,10,FALSE),""),"")</f>
        <v/>
      </c>
      <c r="AI121" s="184" t="str">
        <f>IFERROR(IF(데이터입력!$AE$2="추경",VLOOKUP($A121,#REF!,11,FALSE),""),"")</f>
        <v/>
      </c>
      <c r="AJ121" s="184" t="str">
        <f>IFERROR(IF(데이터입력!$AE$2="추경",VLOOKUP($A121,#REF!,12,FALSE),""),"")</f>
        <v/>
      </c>
      <c r="AK121" s="184" t="str">
        <f>IFERROR(IF(데이터입력!$AE$2="추경",VLOOKUP($A121,#REF!,13,FALSE),""),"")</f>
        <v/>
      </c>
    </row>
    <row r="122" spans="1:37">
      <c r="A122" s="180">
        <v>120</v>
      </c>
      <c r="B122" s="608" t="str">
        <f>IFERROR(IF(F122="06",데이터입력!$AB$8,IF(F122="07",데이터입력!$AD$8,IF(F122="05",데이터입력!$AF$8,데이터입력!$AB$8))),데이터입력!$AB$8)</f>
        <v>00</v>
      </c>
      <c r="C122" s="609" t="str">
        <f>데이터입력!$AC$9</f>
        <v>일반사업[일반]</v>
      </c>
      <c r="D122" s="610" t="str">
        <f>IFERROR(IF(AND(데이터입력!$AE$2="추경",데이터입력!$AM$2=TRUE),VLOOKUP($A122,데이터입력!$A:$H,4,FALSE),""),"")</f>
        <v/>
      </c>
      <c r="E122" s="610" t="str">
        <f>IFERROR(IF(AND(데이터입력!$AE$2="추경",데이터입력!$AM$2=TRUE),VLOOKUP($A122,데이터입력!$A:$H,2,FALSE),""),"")</f>
        <v/>
      </c>
      <c r="F122" s="610" t="str">
        <f>IFERROR(IF(AND(데이터입력!$AE$2="추경",데이터입력!$AM$2=TRUE),VLOOKUP($A122,데이터입력!$A:$H,5,FALSE),""),"")</f>
        <v/>
      </c>
      <c r="G122" s="610" t="str">
        <f>IFERROR(IF(AND(데이터입력!$AE$2="추경",데이터입력!$AM$2=TRUE),VLOOKUP($A122,데이터입력!$A:$H,6,FALSE),""),"")</f>
        <v/>
      </c>
      <c r="H122" s="611" t="str">
        <f>IFERROR(IF(AND(데이터입력!$AE$2="추경",데이터입력!$AM$2=TRUE),VLOOKUP($A122,데이터입력!$A:$L,7,FALSE),""),"")</f>
        <v/>
      </c>
      <c r="I122" s="611" t="str">
        <f>IFERROR(IF(AND(데이터입력!$AE$2="추경",데이터입력!$AM$2=TRUE),VLOOKUP($A122,데이터입력!$A:$L,8,FALSE)+VLOOKUP($A122,데이터입력!$A:$L,9,FALSE)+VLOOKUP($A122,데이터입력!$A:$L,10,FALSE),""),"")</f>
        <v/>
      </c>
      <c r="J122" s="612" t="s">
        <v>135</v>
      </c>
      <c r="K122" s="612" t="s">
        <v>135</v>
      </c>
      <c r="L122" s="612" t="s">
        <v>135</v>
      </c>
      <c r="M122" s="604"/>
      <c r="N122" s="180">
        <v>320</v>
      </c>
      <c r="O122" s="616" t="str">
        <f>IFERROR(IF(S122="06",데이터입력!$AB$8,IF(S122="07",데이터입력!$AD$8,IF(S122="05",데이터입력!$AF$8,데이터입력!$AB$8))),데이터입력!$AB$8)</f>
        <v>00</v>
      </c>
      <c r="P122" s="617" t="str">
        <f>데이터입력!$AC$9</f>
        <v>일반사업[일반]</v>
      </c>
      <c r="Q122" s="618" t="str">
        <f>IFERROR(IF(데이터입력!$AE$2="추경",VLOOKUP($N122,데이터입력!$A:$H,4,FALSE),""),"")</f>
        <v/>
      </c>
      <c r="R122" s="618" t="str">
        <f>IFERROR(IF(데이터입력!$AE$2="추경",VLOOKUP($N122,데이터입력!$A:$H,2,FALSE),""),"")</f>
        <v/>
      </c>
      <c r="S122" s="618" t="str">
        <f>IFERROR(IF(데이터입력!$AE$2="추경",VLOOKUP($N122,데이터입력!$A:$H,5,FALSE),""),"")</f>
        <v/>
      </c>
      <c r="T122" s="618" t="str">
        <f>IFERROR(IF(데이터입력!$AE$2="추경",VLOOKUP($N122,데이터입력!$A:$H,6,FALSE),""),"")</f>
        <v/>
      </c>
      <c r="U122" s="619" t="str">
        <f>IFERROR(IF(데이터입력!$AE$2="추경",VLOOKUP($N122,데이터입력!$A:$L,8,FALSE)+VLOOKUP($N122,데이터입력!$A:$L,9,FALSE)+VLOOKUP($N122,데이터입력!$A:$L,10,FALSE),""),"")</f>
        <v/>
      </c>
      <c r="V122" s="620" t="s">
        <v>135</v>
      </c>
      <c r="W122" s="620" t="s">
        <v>135</v>
      </c>
      <c r="X122" s="620" t="s">
        <v>135</v>
      </c>
      <c r="Y122" s="601"/>
      <c r="Z122" s="182" t="str">
        <f>데이터입력!$AB$8</f>
        <v>00</v>
      </c>
      <c r="AA122" s="185" t="str">
        <f>데이터입력!$AC$9</f>
        <v>일반사업[일반]</v>
      </c>
      <c r="AB122" s="183" t="str">
        <f>IFERROR(IF(데이터입력!$AE$2="추경",VLOOKUP($A122,#REF!,4,FALSE),""),"")</f>
        <v/>
      </c>
      <c r="AC122" s="183" t="str">
        <f>IFERROR(IF(데이터입력!$AE$2="추경",VLOOKUP($A122,#REF!,5,FALSE),""),"")</f>
        <v/>
      </c>
      <c r="AD122" s="183" t="str">
        <f>IFERROR(IF(데이터입력!$AE$2="추경",VLOOKUP($A122,#REF!,6,FALSE),""),"")</f>
        <v/>
      </c>
      <c r="AE122" s="183" t="str">
        <f>IFERROR(IF(데이터입력!$AE$2="추경",VLOOKUP($A122,#REF!,7,FALSE),""),"")</f>
        <v/>
      </c>
      <c r="AF122" s="183"/>
      <c r="AG122" s="184" t="str">
        <f>IFERROR(IF(데이터입력!$AE$2="추경",VLOOKUP($A122,#REF!,9,FALSE),""),"")</f>
        <v/>
      </c>
      <c r="AH122" s="184" t="str">
        <f>IFERROR(IF(데이터입력!$AE$2="추경",VLOOKUP($A122,#REF!,10,FALSE),""),"")</f>
        <v/>
      </c>
      <c r="AI122" s="184" t="str">
        <f>IFERROR(IF(데이터입력!$AE$2="추경",VLOOKUP($A122,#REF!,11,FALSE),""),"")</f>
        <v/>
      </c>
      <c r="AJ122" s="184" t="str">
        <f>IFERROR(IF(데이터입력!$AE$2="추경",VLOOKUP($A122,#REF!,12,FALSE),""),"")</f>
        <v/>
      </c>
      <c r="AK122" s="184" t="str">
        <f>IFERROR(IF(데이터입력!$AE$2="추경",VLOOKUP($A122,#REF!,13,FALSE),""),"")</f>
        <v/>
      </c>
    </row>
    <row r="123" spans="1:37">
      <c r="A123" s="180">
        <v>121</v>
      </c>
      <c r="B123" s="608" t="str">
        <f>IFERROR(IF(F123="06",데이터입력!$AB$8,IF(F123="07",데이터입력!$AD$8,IF(F123="05",데이터입력!$AF$8,데이터입력!$AB$8))),데이터입력!$AB$8)</f>
        <v>00</v>
      </c>
      <c r="C123" s="609" t="str">
        <f>데이터입력!$AC$9</f>
        <v>일반사업[일반]</v>
      </c>
      <c r="D123" s="610" t="str">
        <f>IFERROR(IF(AND(데이터입력!$AE$2="추경",데이터입력!$AM$2=TRUE),VLOOKUP($A123,데이터입력!$A:$H,4,FALSE),""),"")</f>
        <v/>
      </c>
      <c r="E123" s="610" t="str">
        <f>IFERROR(IF(AND(데이터입력!$AE$2="추경",데이터입력!$AM$2=TRUE),VLOOKUP($A123,데이터입력!$A:$H,2,FALSE),""),"")</f>
        <v/>
      </c>
      <c r="F123" s="610" t="str">
        <f>IFERROR(IF(AND(데이터입력!$AE$2="추경",데이터입력!$AM$2=TRUE),VLOOKUP($A123,데이터입력!$A:$H,5,FALSE),""),"")</f>
        <v/>
      </c>
      <c r="G123" s="610" t="str">
        <f>IFERROR(IF(AND(데이터입력!$AE$2="추경",데이터입력!$AM$2=TRUE),VLOOKUP($A123,데이터입력!$A:$H,6,FALSE),""),"")</f>
        <v/>
      </c>
      <c r="H123" s="611" t="str">
        <f>IFERROR(IF(AND(데이터입력!$AE$2="추경",데이터입력!$AM$2=TRUE),VLOOKUP($A123,데이터입력!$A:$L,7,FALSE),""),"")</f>
        <v/>
      </c>
      <c r="I123" s="611" t="str">
        <f>IFERROR(IF(AND(데이터입력!$AE$2="추경",데이터입력!$AM$2=TRUE),VLOOKUP($A123,데이터입력!$A:$L,8,FALSE)+VLOOKUP($A123,데이터입력!$A:$L,9,FALSE)+VLOOKUP($A123,데이터입력!$A:$L,10,FALSE),""),"")</f>
        <v/>
      </c>
      <c r="J123" s="612" t="s">
        <v>135</v>
      </c>
      <c r="K123" s="612" t="s">
        <v>135</v>
      </c>
      <c r="L123" s="612" t="s">
        <v>135</v>
      </c>
      <c r="M123" s="604"/>
      <c r="N123" s="180">
        <v>321</v>
      </c>
      <c r="O123" s="616" t="str">
        <f>IFERROR(IF(S123="06",데이터입력!$AB$8,IF(S123="07",데이터입력!$AD$8,IF(S123="05",데이터입력!$AF$8,데이터입력!$AB$8))),데이터입력!$AB$8)</f>
        <v>00</v>
      </c>
      <c r="P123" s="617" t="str">
        <f>데이터입력!$AC$9</f>
        <v>일반사업[일반]</v>
      </c>
      <c r="Q123" s="618" t="str">
        <f>IFERROR(IF(데이터입력!$AE$2="추경",VLOOKUP($N123,데이터입력!$A:$H,4,FALSE),""),"")</f>
        <v/>
      </c>
      <c r="R123" s="618" t="str">
        <f>IFERROR(IF(데이터입력!$AE$2="추경",VLOOKUP($N123,데이터입력!$A:$H,2,FALSE),""),"")</f>
        <v/>
      </c>
      <c r="S123" s="618" t="str">
        <f>IFERROR(IF(데이터입력!$AE$2="추경",VLOOKUP($N123,데이터입력!$A:$H,5,FALSE),""),"")</f>
        <v/>
      </c>
      <c r="T123" s="618" t="str">
        <f>IFERROR(IF(데이터입력!$AE$2="추경",VLOOKUP($N123,데이터입력!$A:$H,6,FALSE),""),"")</f>
        <v/>
      </c>
      <c r="U123" s="619" t="str">
        <f>IFERROR(IF(데이터입력!$AE$2="추경",VLOOKUP($N123,데이터입력!$A:$L,8,FALSE)+VLOOKUP($N123,데이터입력!$A:$L,9,FALSE)+VLOOKUP($N123,데이터입력!$A:$L,10,FALSE),""),"")</f>
        <v/>
      </c>
      <c r="V123" s="620" t="s">
        <v>135</v>
      </c>
      <c r="W123" s="620" t="s">
        <v>135</v>
      </c>
      <c r="X123" s="620" t="s">
        <v>135</v>
      </c>
      <c r="Y123" s="601"/>
      <c r="Z123" s="182" t="str">
        <f>데이터입력!$AB$8</f>
        <v>00</v>
      </c>
      <c r="AA123" s="185" t="str">
        <f>데이터입력!$AC$9</f>
        <v>일반사업[일반]</v>
      </c>
      <c r="AB123" s="183" t="str">
        <f>IFERROR(IF(데이터입력!$AE$2="추경",VLOOKUP($A123,#REF!,4,FALSE),""),"")</f>
        <v/>
      </c>
      <c r="AC123" s="183" t="str">
        <f>IFERROR(IF(데이터입력!$AE$2="추경",VLOOKUP($A123,#REF!,5,FALSE),""),"")</f>
        <v/>
      </c>
      <c r="AD123" s="183" t="str">
        <f>IFERROR(IF(데이터입력!$AE$2="추경",VLOOKUP($A123,#REF!,6,FALSE),""),"")</f>
        <v/>
      </c>
      <c r="AE123" s="183" t="str">
        <f>IFERROR(IF(데이터입력!$AE$2="추경",VLOOKUP($A123,#REF!,7,FALSE),""),"")</f>
        <v/>
      </c>
      <c r="AF123" s="183"/>
      <c r="AG123" s="184" t="str">
        <f>IFERROR(IF(데이터입력!$AE$2="추경",VLOOKUP($A123,#REF!,9,FALSE),""),"")</f>
        <v/>
      </c>
      <c r="AH123" s="184" t="str">
        <f>IFERROR(IF(데이터입력!$AE$2="추경",VLOOKUP($A123,#REF!,10,FALSE),""),"")</f>
        <v/>
      </c>
      <c r="AI123" s="184" t="str">
        <f>IFERROR(IF(데이터입력!$AE$2="추경",VLOOKUP($A123,#REF!,11,FALSE),""),"")</f>
        <v/>
      </c>
      <c r="AJ123" s="184" t="str">
        <f>IFERROR(IF(데이터입력!$AE$2="추경",VLOOKUP($A123,#REF!,12,FALSE),""),"")</f>
        <v/>
      </c>
      <c r="AK123" s="184" t="str">
        <f>IFERROR(IF(데이터입력!$AE$2="추경",VLOOKUP($A123,#REF!,13,FALSE),""),"")</f>
        <v/>
      </c>
    </row>
    <row r="124" spans="1:37">
      <c r="A124" s="180">
        <v>122</v>
      </c>
      <c r="B124" s="608" t="str">
        <f>IFERROR(IF(F124="06",데이터입력!$AB$8,IF(F124="07",데이터입력!$AD$8,IF(F124="05",데이터입력!$AF$8,데이터입력!$AB$8))),데이터입력!$AB$8)</f>
        <v>00</v>
      </c>
      <c r="C124" s="609" t="str">
        <f>데이터입력!$AC$9</f>
        <v>일반사업[일반]</v>
      </c>
      <c r="D124" s="610" t="str">
        <f>IFERROR(IF(AND(데이터입력!$AE$2="추경",데이터입력!$AM$2=TRUE),VLOOKUP($A124,데이터입력!$A:$H,4,FALSE),""),"")</f>
        <v/>
      </c>
      <c r="E124" s="610" t="str">
        <f>IFERROR(IF(AND(데이터입력!$AE$2="추경",데이터입력!$AM$2=TRUE),VLOOKUP($A124,데이터입력!$A:$H,2,FALSE),""),"")</f>
        <v/>
      </c>
      <c r="F124" s="610" t="str">
        <f>IFERROR(IF(AND(데이터입력!$AE$2="추경",데이터입력!$AM$2=TRUE),VLOOKUP($A124,데이터입력!$A:$H,5,FALSE),""),"")</f>
        <v/>
      </c>
      <c r="G124" s="610" t="str">
        <f>IFERROR(IF(AND(데이터입력!$AE$2="추경",데이터입력!$AM$2=TRUE),VLOOKUP($A124,데이터입력!$A:$H,6,FALSE),""),"")</f>
        <v/>
      </c>
      <c r="H124" s="611" t="str">
        <f>IFERROR(IF(AND(데이터입력!$AE$2="추경",데이터입력!$AM$2=TRUE),VLOOKUP($A124,데이터입력!$A:$L,7,FALSE),""),"")</f>
        <v/>
      </c>
      <c r="I124" s="611" t="str">
        <f>IFERROR(IF(AND(데이터입력!$AE$2="추경",데이터입력!$AM$2=TRUE),VLOOKUP($A124,데이터입력!$A:$L,8,FALSE)+VLOOKUP($A124,데이터입력!$A:$L,9,FALSE)+VLOOKUP($A124,데이터입력!$A:$L,10,FALSE),""),"")</f>
        <v/>
      </c>
      <c r="J124" s="612" t="s">
        <v>135</v>
      </c>
      <c r="K124" s="612" t="s">
        <v>135</v>
      </c>
      <c r="L124" s="612" t="s">
        <v>135</v>
      </c>
      <c r="M124" s="604"/>
      <c r="N124" s="180">
        <v>322</v>
      </c>
      <c r="O124" s="616" t="str">
        <f>IFERROR(IF(S124="06",데이터입력!$AB$8,IF(S124="07",데이터입력!$AD$8,IF(S124="05",데이터입력!$AF$8,데이터입력!$AB$8))),데이터입력!$AB$8)</f>
        <v>00</v>
      </c>
      <c r="P124" s="617" t="str">
        <f>데이터입력!$AC$9</f>
        <v>일반사업[일반]</v>
      </c>
      <c r="Q124" s="618" t="str">
        <f>IFERROR(IF(데이터입력!$AE$2="추경",VLOOKUP($N124,데이터입력!$A:$H,4,FALSE),""),"")</f>
        <v/>
      </c>
      <c r="R124" s="618" t="str">
        <f>IFERROR(IF(데이터입력!$AE$2="추경",VLOOKUP($N124,데이터입력!$A:$H,2,FALSE),""),"")</f>
        <v/>
      </c>
      <c r="S124" s="618" t="str">
        <f>IFERROR(IF(데이터입력!$AE$2="추경",VLOOKUP($N124,데이터입력!$A:$H,5,FALSE),""),"")</f>
        <v/>
      </c>
      <c r="T124" s="618" t="str">
        <f>IFERROR(IF(데이터입력!$AE$2="추경",VLOOKUP($N124,데이터입력!$A:$H,6,FALSE),""),"")</f>
        <v/>
      </c>
      <c r="U124" s="619" t="str">
        <f>IFERROR(IF(데이터입력!$AE$2="추경",VLOOKUP($N124,데이터입력!$A:$L,8,FALSE)+VLOOKUP($N124,데이터입력!$A:$L,9,FALSE)+VLOOKUP($N124,데이터입력!$A:$L,10,FALSE),""),"")</f>
        <v/>
      </c>
      <c r="V124" s="620" t="s">
        <v>135</v>
      </c>
      <c r="W124" s="620" t="s">
        <v>135</v>
      </c>
      <c r="X124" s="620" t="s">
        <v>135</v>
      </c>
      <c r="Y124" s="601"/>
      <c r="Z124" s="182" t="str">
        <f>데이터입력!$AB$8</f>
        <v>00</v>
      </c>
      <c r="AA124" s="185" t="str">
        <f>데이터입력!$AC$9</f>
        <v>일반사업[일반]</v>
      </c>
      <c r="AB124" s="183" t="str">
        <f>IFERROR(IF(데이터입력!$AE$2="추경",VLOOKUP($A124,#REF!,4,FALSE),""),"")</f>
        <v/>
      </c>
      <c r="AC124" s="183" t="str">
        <f>IFERROR(IF(데이터입력!$AE$2="추경",VLOOKUP($A124,#REF!,5,FALSE),""),"")</f>
        <v/>
      </c>
      <c r="AD124" s="183" t="str">
        <f>IFERROR(IF(데이터입력!$AE$2="추경",VLOOKUP($A124,#REF!,6,FALSE),""),"")</f>
        <v/>
      </c>
      <c r="AE124" s="183" t="str">
        <f>IFERROR(IF(데이터입력!$AE$2="추경",VLOOKUP($A124,#REF!,7,FALSE),""),"")</f>
        <v/>
      </c>
      <c r="AF124" s="183"/>
      <c r="AG124" s="184" t="str">
        <f>IFERROR(IF(데이터입력!$AE$2="추경",VLOOKUP($A124,#REF!,9,FALSE),""),"")</f>
        <v/>
      </c>
      <c r="AH124" s="184" t="str">
        <f>IFERROR(IF(데이터입력!$AE$2="추경",VLOOKUP($A124,#REF!,10,FALSE),""),"")</f>
        <v/>
      </c>
      <c r="AI124" s="184" t="str">
        <f>IFERROR(IF(데이터입력!$AE$2="추경",VLOOKUP($A124,#REF!,11,FALSE),""),"")</f>
        <v/>
      </c>
      <c r="AJ124" s="184" t="str">
        <f>IFERROR(IF(데이터입력!$AE$2="추경",VLOOKUP($A124,#REF!,12,FALSE),""),"")</f>
        <v/>
      </c>
      <c r="AK124" s="184" t="str">
        <f>IFERROR(IF(데이터입력!$AE$2="추경",VLOOKUP($A124,#REF!,13,FALSE),""),"")</f>
        <v/>
      </c>
    </row>
    <row r="125" spans="1:37">
      <c r="A125" s="180">
        <v>123</v>
      </c>
      <c r="B125" s="608" t="str">
        <f>IFERROR(IF(F125="06",데이터입력!$AB$8,IF(F125="07",데이터입력!$AD$8,IF(F125="05",데이터입력!$AF$8,데이터입력!$AB$8))),데이터입력!$AB$8)</f>
        <v>00</v>
      </c>
      <c r="C125" s="609" t="str">
        <f>데이터입력!$AC$9</f>
        <v>일반사업[일반]</v>
      </c>
      <c r="D125" s="610" t="str">
        <f>IFERROR(IF(AND(데이터입력!$AE$2="추경",데이터입력!$AM$2=TRUE),VLOOKUP($A125,데이터입력!$A:$H,4,FALSE),""),"")</f>
        <v/>
      </c>
      <c r="E125" s="610" t="str">
        <f>IFERROR(IF(AND(데이터입력!$AE$2="추경",데이터입력!$AM$2=TRUE),VLOOKUP($A125,데이터입력!$A:$H,2,FALSE),""),"")</f>
        <v/>
      </c>
      <c r="F125" s="610" t="str">
        <f>IFERROR(IF(AND(데이터입력!$AE$2="추경",데이터입력!$AM$2=TRUE),VLOOKUP($A125,데이터입력!$A:$H,5,FALSE),""),"")</f>
        <v/>
      </c>
      <c r="G125" s="610" t="str">
        <f>IFERROR(IF(AND(데이터입력!$AE$2="추경",데이터입력!$AM$2=TRUE),VLOOKUP($A125,데이터입력!$A:$H,6,FALSE),""),"")</f>
        <v/>
      </c>
      <c r="H125" s="611" t="str">
        <f>IFERROR(IF(AND(데이터입력!$AE$2="추경",데이터입력!$AM$2=TRUE),VLOOKUP($A125,데이터입력!$A:$L,7,FALSE),""),"")</f>
        <v/>
      </c>
      <c r="I125" s="611" t="str">
        <f>IFERROR(IF(AND(데이터입력!$AE$2="추경",데이터입력!$AM$2=TRUE),VLOOKUP($A125,데이터입력!$A:$L,8,FALSE)+VLOOKUP($A125,데이터입력!$A:$L,9,FALSE)+VLOOKUP($A125,데이터입력!$A:$L,10,FALSE),""),"")</f>
        <v/>
      </c>
      <c r="J125" s="612" t="s">
        <v>135</v>
      </c>
      <c r="K125" s="612" t="s">
        <v>135</v>
      </c>
      <c r="L125" s="612" t="s">
        <v>135</v>
      </c>
      <c r="M125" s="604"/>
      <c r="N125" s="180">
        <v>323</v>
      </c>
      <c r="O125" s="616" t="str">
        <f>IFERROR(IF(S125="06",데이터입력!$AB$8,IF(S125="07",데이터입력!$AD$8,IF(S125="05",데이터입력!$AF$8,데이터입력!$AB$8))),데이터입력!$AB$8)</f>
        <v>00</v>
      </c>
      <c r="P125" s="617" t="str">
        <f>데이터입력!$AC$9</f>
        <v>일반사업[일반]</v>
      </c>
      <c r="Q125" s="618" t="str">
        <f>IFERROR(IF(데이터입력!$AE$2="추경",VLOOKUP($N125,데이터입력!$A:$H,4,FALSE),""),"")</f>
        <v/>
      </c>
      <c r="R125" s="618" t="str">
        <f>IFERROR(IF(데이터입력!$AE$2="추경",VLOOKUP($N125,데이터입력!$A:$H,2,FALSE),""),"")</f>
        <v/>
      </c>
      <c r="S125" s="618" t="str">
        <f>IFERROR(IF(데이터입력!$AE$2="추경",VLOOKUP($N125,데이터입력!$A:$H,5,FALSE),""),"")</f>
        <v/>
      </c>
      <c r="T125" s="618" t="str">
        <f>IFERROR(IF(데이터입력!$AE$2="추경",VLOOKUP($N125,데이터입력!$A:$H,6,FALSE),""),"")</f>
        <v/>
      </c>
      <c r="U125" s="619" t="str">
        <f>IFERROR(IF(데이터입력!$AE$2="추경",VLOOKUP($N125,데이터입력!$A:$L,8,FALSE)+VLOOKUP($N125,데이터입력!$A:$L,9,FALSE)+VLOOKUP($N125,데이터입력!$A:$L,10,FALSE),""),"")</f>
        <v/>
      </c>
      <c r="V125" s="620" t="s">
        <v>135</v>
      </c>
      <c r="W125" s="620" t="s">
        <v>135</v>
      </c>
      <c r="X125" s="620" t="s">
        <v>135</v>
      </c>
      <c r="Y125" s="601"/>
      <c r="Z125" s="182" t="str">
        <f>데이터입력!$AB$8</f>
        <v>00</v>
      </c>
      <c r="AA125" s="185" t="str">
        <f>데이터입력!$AC$9</f>
        <v>일반사업[일반]</v>
      </c>
      <c r="AB125" s="183" t="str">
        <f>IFERROR(IF(데이터입력!$AE$2="추경",VLOOKUP($A125,#REF!,4,FALSE),""),"")</f>
        <v/>
      </c>
      <c r="AC125" s="183" t="str">
        <f>IFERROR(IF(데이터입력!$AE$2="추경",VLOOKUP($A125,#REF!,5,FALSE),""),"")</f>
        <v/>
      </c>
      <c r="AD125" s="183" t="str">
        <f>IFERROR(IF(데이터입력!$AE$2="추경",VLOOKUP($A125,#REF!,6,FALSE),""),"")</f>
        <v/>
      </c>
      <c r="AE125" s="183" t="str">
        <f>IFERROR(IF(데이터입력!$AE$2="추경",VLOOKUP($A125,#REF!,7,FALSE),""),"")</f>
        <v/>
      </c>
      <c r="AF125" s="183"/>
      <c r="AG125" s="184" t="str">
        <f>IFERROR(IF(데이터입력!$AE$2="추경",VLOOKUP($A125,#REF!,9,FALSE),""),"")</f>
        <v/>
      </c>
      <c r="AH125" s="184" t="str">
        <f>IFERROR(IF(데이터입력!$AE$2="추경",VLOOKUP($A125,#REF!,10,FALSE),""),"")</f>
        <v/>
      </c>
      <c r="AI125" s="184" t="str">
        <f>IFERROR(IF(데이터입력!$AE$2="추경",VLOOKUP($A125,#REF!,11,FALSE),""),"")</f>
        <v/>
      </c>
      <c r="AJ125" s="184" t="str">
        <f>IFERROR(IF(데이터입력!$AE$2="추경",VLOOKUP($A125,#REF!,12,FALSE),""),"")</f>
        <v/>
      </c>
      <c r="AK125" s="184" t="str">
        <f>IFERROR(IF(데이터입력!$AE$2="추경",VLOOKUP($A125,#REF!,13,FALSE),""),"")</f>
        <v/>
      </c>
    </row>
    <row r="126" spans="1:37">
      <c r="A126" s="180">
        <v>124</v>
      </c>
      <c r="B126" s="608" t="str">
        <f>IFERROR(IF(F126="06",데이터입력!$AB$8,IF(F126="07",데이터입력!$AD$8,IF(F126="05",데이터입력!$AF$8,데이터입력!$AB$8))),데이터입력!$AB$8)</f>
        <v>00</v>
      </c>
      <c r="C126" s="609" t="str">
        <f>데이터입력!$AC$9</f>
        <v>일반사업[일반]</v>
      </c>
      <c r="D126" s="610" t="str">
        <f>IFERROR(IF(AND(데이터입력!$AE$2="추경",데이터입력!$AM$2=TRUE),VLOOKUP($A126,데이터입력!$A:$H,4,FALSE),""),"")</f>
        <v/>
      </c>
      <c r="E126" s="610" t="str">
        <f>IFERROR(IF(AND(데이터입력!$AE$2="추경",데이터입력!$AM$2=TRUE),VLOOKUP($A126,데이터입력!$A:$H,2,FALSE),""),"")</f>
        <v/>
      </c>
      <c r="F126" s="610" t="str">
        <f>IFERROR(IF(AND(데이터입력!$AE$2="추경",데이터입력!$AM$2=TRUE),VLOOKUP($A126,데이터입력!$A:$H,5,FALSE),""),"")</f>
        <v/>
      </c>
      <c r="G126" s="610" t="str">
        <f>IFERROR(IF(AND(데이터입력!$AE$2="추경",데이터입력!$AM$2=TRUE),VLOOKUP($A126,데이터입력!$A:$H,6,FALSE),""),"")</f>
        <v/>
      </c>
      <c r="H126" s="611" t="str">
        <f>IFERROR(IF(AND(데이터입력!$AE$2="추경",데이터입력!$AM$2=TRUE),VLOOKUP($A126,데이터입력!$A:$L,7,FALSE),""),"")</f>
        <v/>
      </c>
      <c r="I126" s="611" t="str">
        <f>IFERROR(IF(AND(데이터입력!$AE$2="추경",데이터입력!$AM$2=TRUE),VLOOKUP($A126,데이터입력!$A:$L,8,FALSE)+VLOOKUP($A126,데이터입력!$A:$L,9,FALSE)+VLOOKUP($A126,데이터입력!$A:$L,10,FALSE),""),"")</f>
        <v/>
      </c>
      <c r="J126" s="612" t="s">
        <v>135</v>
      </c>
      <c r="K126" s="612" t="s">
        <v>135</v>
      </c>
      <c r="L126" s="612" t="s">
        <v>135</v>
      </c>
      <c r="M126" s="604"/>
      <c r="N126" s="180">
        <v>324</v>
      </c>
      <c r="O126" s="616" t="str">
        <f>IFERROR(IF(S126="06",데이터입력!$AB$8,IF(S126="07",데이터입력!$AD$8,IF(S126="05",데이터입력!$AF$8,데이터입력!$AB$8))),데이터입력!$AB$8)</f>
        <v>00</v>
      </c>
      <c r="P126" s="617" t="str">
        <f>데이터입력!$AC$9</f>
        <v>일반사업[일반]</v>
      </c>
      <c r="Q126" s="618" t="str">
        <f>IFERROR(IF(데이터입력!$AE$2="추경",VLOOKUP($N126,데이터입력!$A:$H,4,FALSE),""),"")</f>
        <v/>
      </c>
      <c r="R126" s="618" t="str">
        <f>IFERROR(IF(데이터입력!$AE$2="추경",VLOOKUP($N126,데이터입력!$A:$H,2,FALSE),""),"")</f>
        <v/>
      </c>
      <c r="S126" s="618" t="str">
        <f>IFERROR(IF(데이터입력!$AE$2="추경",VLOOKUP($N126,데이터입력!$A:$H,5,FALSE),""),"")</f>
        <v/>
      </c>
      <c r="T126" s="618" t="str">
        <f>IFERROR(IF(데이터입력!$AE$2="추경",VLOOKUP($N126,데이터입력!$A:$H,6,FALSE),""),"")</f>
        <v/>
      </c>
      <c r="U126" s="619" t="str">
        <f>IFERROR(IF(데이터입력!$AE$2="추경",VLOOKUP($N126,데이터입력!$A:$L,8,FALSE)+VLOOKUP($N126,데이터입력!$A:$L,9,FALSE)+VLOOKUP($N126,데이터입력!$A:$L,10,FALSE),""),"")</f>
        <v/>
      </c>
      <c r="V126" s="620" t="s">
        <v>135</v>
      </c>
      <c r="W126" s="620" t="s">
        <v>135</v>
      </c>
      <c r="X126" s="620" t="s">
        <v>135</v>
      </c>
      <c r="Y126" s="601"/>
      <c r="Z126" s="182" t="str">
        <f>데이터입력!$AB$8</f>
        <v>00</v>
      </c>
      <c r="AA126" s="185" t="str">
        <f>데이터입력!$AC$9</f>
        <v>일반사업[일반]</v>
      </c>
      <c r="AB126" s="183" t="str">
        <f>IFERROR(IF(데이터입력!$AE$2="추경",VLOOKUP($A126,#REF!,4,FALSE),""),"")</f>
        <v/>
      </c>
      <c r="AC126" s="183" t="str">
        <f>IFERROR(IF(데이터입력!$AE$2="추경",VLOOKUP($A126,#REF!,5,FALSE),""),"")</f>
        <v/>
      </c>
      <c r="AD126" s="183" t="str">
        <f>IFERROR(IF(데이터입력!$AE$2="추경",VLOOKUP($A126,#REF!,6,FALSE),""),"")</f>
        <v/>
      </c>
      <c r="AE126" s="183" t="str">
        <f>IFERROR(IF(데이터입력!$AE$2="추경",VLOOKUP($A126,#REF!,7,FALSE),""),"")</f>
        <v/>
      </c>
      <c r="AF126" s="183"/>
      <c r="AG126" s="184" t="str">
        <f>IFERROR(IF(데이터입력!$AE$2="추경",VLOOKUP($A126,#REF!,9,FALSE),""),"")</f>
        <v/>
      </c>
      <c r="AH126" s="184" t="str">
        <f>IFERROR(IF(데이터입력!$AE$2="추경",VLOOKUP($A126,#REF!,10,FALSE),""),"")</f>
        <v/>
      </c>
      <c r="AI126" s="184" t="str">
        <f>IFERROR(IF(데이터입력!$AE$2="추경",VLOOKUP($A126,#REF!,11,FALSE),""),"")</f>
        <v/>
      </c>
      <c r="AJ126" s="184" t="str">
        <f>IFERROR(IF(데이터입력!$AE$2="추경",VLOOKUP($A126,#REF!,12,FALSE),""),"")</f>
        <v/>
      </c>
      <c r="AK126" s="184" t="str">
        <f>IFERROR(IF(데이터입력!$AE$2="추경",VLOOKUP($A126,#REF!,13,FALSE),""),"")</f>
        <v/>
      </c>
    </row>
    <row r="127" spans="1:37">
      <c r="A127" s="180">
        <v>125</v>
      </c>
      <c r="B127" s="608" t="str">
        <f>IFERROR(IF(F127="06",데이터입력!$AB$8,IF(F127="07",데이터입력!$AD$8,IF(F127="05",데이터입력!$AF$8,데이터입력!$AB$8))),데이터입력!$AB$8)</f>
        <v>00</v>
      </c>
      <c r="C127" s="609" t="str">
        <f>데이터입력!$AC$9</f>
        <v>일반사업[일반]</v>
      </c>
      <c r="D127" s="610" t="str">
        <f>IFERROR(IF(AND(데이터입력!$AE$2="추경",데이터입력!$AM$2=TRUE),VLOOKUP($A127,데이터입력!$A:$H,4,FALSE),""),"")</f>
        <v/>
      </c>
      <c r="E127" s="610" t="str">
        <f>IFERROR(IF(AND(데이터입력!$AE$2="추경",데이터입력!$AM$2=TRUE),VLOOKUP($A127,데이터입력!$A:$H,2,FALSE),""),"")</f>
        <v/>
      </c>
      <c r="F127" s="610" t="str">
        <f>IFERROR(IF(AND(데이터입력!$AE$2="추경",데이터입력!$AM$2=TRUE),VLOOKUP($A127,데이터입력!$A:$H,5,FALSE),""),"")</f>
        <v/>
      </c>
      <c r="G127" s="610" t="str">
        <f>IFERROR(IF(AND(데이터입력!$AE$2="추경",데이터입력!$AM$2=TRUE),VLOOKUP($A127,데이터입력!$A:$H,6,FALSE),""),"")</f>
        <v/>
      </c>
      <c r="H127" s="611" t="str">
        <f>IFERROR(IF(AND(데이터입력!$AE$2="추경",데이터입력!$AM$2=TRUE),VLOOKUP($A127,데이터입력!$A:$L,7,FALSE),""),"")</f>
        <v/>
      </c>
      <c r="I127" s="611" t="str">
        <f>IFERROR(IF(AND(데이터입력!$AE$2="추경",데이터입력!$AM$2=TRUE),VLOOKUP($A127,데이터입력!$A:$L,8,FALSE)+VLOOKUP($A127,데이터입력!$A:$L,9,FALSE)+VLOOKUP($A127,데이터입력!$A:$L,10,FALSE),""),"")</f>
        <v/>
      </c>
      <c r="J127" s="612" t="s">
        <v>135</v>
      </c>
      <c r="K127" s="612" t="s">
        <v>135</v>
      </c>
      <c r="L127" s="612" t="s">
        <v>135</v>
      </c>
      <c r="M127" s="604"/>
      <c r="N127" s="180">
        <v>325</v>
      </c>
      <c r="O127" s="616" t="str">
        <f>IFERROR(IF(S127="06",데이터입력!$AB$8,IF(S127="07",데이터입력!$AD$8,IF(S127="05",데이터입력!$AF$8,데이터입력!$AB$8))),데이터입력!$AB$8)</f>
        <v>00</v>
      </c>
      <c r="P127" s="617" t="str">
        <f>데이터입력!$AC$9</f>
        <v>일반사업[일반]</v>
      </c>
      <c r="Q127" s="618" t="str">
        <f>IFERROR(IF(데이터입력!$AE$2="추경",VLOOKUP($N127,데이터입력!$A:$H,4,FALSE),""),"")</f>
        <v/>
      </c>
      <c r="R127" s="618" t="str">
        <f>IFERROR(IF(데이터입력!$AE$2="추경",VLOOKUP($N127,데이터입력!$A:$H,2,FALSE),""),"")</f>
        <v/>
      </c>
      <c r="S127" s="618" t="str">
        <f>IFERROR(IF(데이터입력!$AE$2="추경",VLOOKUP($N127,데이터입력!$A:$H,5,FALSE),""),"")</f>
        <v/>
      </c>
      <c r="T127" s="618" t="str">
        <f>IFERROR(IF(데이터입력!$AE$2="추경",VLOOKUP($N127,데이터입력!$A:$H,6,FALSE),""),"")</f>
        <v/>
      </c>
      <c r="U127" s="619" t="str">
        <f>IFERROR(IF(데이터입력!$AE$2="추경",VLOOKUP($N127,데이터입력!$A:$L,8,FALSE)+VLOOKUP($N127,데이터입력!$A:$L,9,FALSE)+VLOOKUP($N127,데이터입력!$A:$L,10,FALSE),""),"")</f>
        <v/>
      </c>
      <c r="V127" s="620" t="s">
        <v>135</v>
      </c>
      <c r="W127" s="620" t="s">
        <v>135</v>
      </c>
      <c r="X127" s="620" t="s">
        <v>135</v>
      </c>
      <c r="Y127" s="601"/>
      <c r="Z127" s="182" t="str">
        <f>데이터입력!$AB$8</f>
        <v>00</v>
      </c>
      <c r="AA127" s="185" t="str">
        <f>데이터입력!$AC$9</f>
        <v>일반사업[일반]</v>
      </c>
      <c r="AB127" s="183" t="str">
        <f>IFERROR(IF(데이터입력!$AE$2="추경",VLOOKUP($A127,#REF!,4,FALSE),""),"")</f>
        <v/>
      </c>
      <c r="AC127" s="183" t="str">
        <f>IFERROR(IF(데이터입력!$AE$2="추경",VLOOKUP($A127,#REF!,5,FALSE),""),"")</f>
        <v/>
      </c>
      <c r="AD127" s="183" t="str">
        <f>IFERROR(IF(데이터입력!$AE$2="추경",VLOOKUP($A127,#REF!,6,FALSE),""),"")</f>
        <v/>
      </c>
      <c r="AE127" s="183" t="str">
        <f>IFERROR(IF(데이터입력!$AE$2="추경",VLOOKUP($A127,#REF!,7,FALSE),""),"")</f>
        <v/>
      </c>
      <c r="AF127" s="183"/>
      <c r="AG127" s="184" t="str">
        <f>IFERROR(IF(데이터입력!$AE$2="추경",VLOOKUP($A127,#REF!,9,FALSE),""),"")</f>
        <v/>
      </c>
      <c r="AH127" s="184" t="str">
        <f>IFERROR(IF(데이터입력!$AE$2="추경",VLOOKUP($A127,#REF!,10,FALSE),""),"")</f>
        <v/>
      </c>
      <c r="AI127" s="184" t="str">
        <f>IFERROR(IF(데이터입력!$AE$2="추경",VLOOKUP($A127,#REF!,11,FALSE),""),"")</f>
        <v/>
      </c>
      <c r="AJ127" s="184" t="str">
        <f>IFERROR(IF(데이터입력!$AE$2="추경",VLOOKUP($A127,#REF!,12,FALSE),""),"")</f>
        <v/>
      </c>
      <c r="AK127" s="184" t="str">
        <f>IFERROR(IF(데이터입력!$AE$2="추경",VLOOKUP($A127,#REF!,13,FALSE),""),"")</f>
        <v/>
      </c>
    </row>
    <row r="128" spans="1:37">
      <c r="A128" s="180">
        <v>126</v>
      </c>
      <c r="B128" s="608" t="str">
        <f>IFERROR(IF(F128="06",데이터입력!$AB$8,IF(F128="07",데이터입력!$AD$8,IF(F128="05",데이터입력!$AF$8,데이터입력!$AB$8))),데이터입력!$AB$8)</f>
        <v>00</v>
      </c>
      <c r="C128" s="609" t="str">
        <f>데이터입력!$AC$9</f>
        <v>일반사업[일반]</v>
      </c>
      <c r="D128" s="610" t="str">
        <f>IFERROR(IF(AND(데이터입력!$AE$2="추경",데이터입력!$AM$2=TRUE),VLOOKUP($A128,데이터입력!$A:$H,4,FALSE),""),"")</f>
        <v/>
      </c>
      <c r="E128" s="610" t="str">
        <f>IFERROR(IF(AND(데이터입력!$AE$2="추경",데이터입력!$AM$2=TRUE),VLOOKUP($A128,데이터입력!$A:$H,2,FALSE),""),"")</f>
        <v/>
      </c>
      <c r="F128" s="610" t="str">
        <f>IFERROR(IF(AND(데이터입력!$AE$2="추경",데이터입력!$AM$2=TRUE),VLOOKUP($A128,데이터입력!$A:$H,5,FALSE),""),"")</f>
        <v/>
      </c>
      <c r="G128" s="610" t="str">
        <f>IFERROR(IF(AND(데이터입력!$AE$2="추경",데이터입력!$AM$2=TRUE),VLOOKUP($A128,데이터입력!$A:$H,6,FALSE),""),"")</f>
        <v/>
      </c>
      <c r="H128" s="611" t="str">
        <f>IFERROR(IF(AND(데이터입력!$AE$2="추경",데이터입력!$AM$2=TRUE),VLOOKUP($A128,데이터입력!$A:$L,7,FALSE),""),"")</f>
        <v/>
      </c>
      <c r="I128" s="611" t="str">
        <f>IFERROR(IF(AND(데이터입력!$AE$2="추경",데이터입력!$AM$2=TRUE),VLOOKUP($A128,데이터입력!$A:$L,8,FALSE)+VLOOKUP($A128,데이터입력!$A:$L,9,FALSE)+VLOOKUP($A128,데이터입력!$A:$L,10,FALSE),""),"")</f>
        <v/>
      </c>
      <c r="J128" s="612" t="s">
        <v>135</v>
      </c>
      <c r="K128" s="612" t="s">
        <v>135</v>
      </c>
      <c r="L128" s="612" t="s">
        <v>135</v>
      </c>
      <c r="M128" s="604"/>
      <c r="N128" s="180">
        <v>326</v>
      </c>
      <c r="O128" s="616" t="str">
        <f>IFERROR(IF(S128="06",데이터입력!$AB$8,IF(S128="07",데이터입력!$AD$8,IF(S128="05",데이터입력!$AF$8,데이터입력!$AB$8))),데이터입력!$AB$8)</f>
        <v>00</v>
      </c>
      <c r="P128" s="617" t="str">
        <f>데이터입력!$AC$9</f>
        <v>일반사업[일반]</v>
      </c>
      <c r="Q128" s="618" t="str">
        <f>IFERROR(IF(데이터입력!$AE$2="추경",VLOOKUP($N128,데이터입력!$A:$H,4,FALSE),""),"")</f>
        <v/>
      </c>
      <c r="R128" s="618" t="str">
        <f>IFERROR(IF(데이터입력!$AE$2="추경",VLOOKUP($N128,데이터입력!$A:$H,2,FALSE),""),"")</f>
        <v/>
      </c>
      <c r="S128" s="618" t="str">
        <f>IFERROR(IF(데이터입력!$AE$2="추경",VLOOKUP($N128,데이터입력!$A:$H,5,FALSE),""),"")</f>
        <v/>
      </c>
      <c r="T128" s="618" t="str">
        <f>IFERROR(IF(데이터입력!$AE$2="추경",VLOOKUP($N128,데이터입력!$A:$H,6,FALSE),""),"")</f>
        <v/>
      </c>
      <c r="U128" s="619" t="str">
        <f>IFERROR(IF(데이터입력!$AE$2="추경",VLOOKUP($N128,데이터입력!$A:$L,8,FALSE)+VLOOKUP($N128,데이터입력!$A:$L,9,FALSE)+VLOOKUP($N128,데이터입력!$A:$L,10,FALSE),""),"")</f>
        <v/>
      </c>
      <c r="V128" s="620" t="s">
        <v>135</v>
      </c>
      <c r="W128" s="620" t="s">
        <v>135</v>
      </c>
      <c r="X128" s="620" t="s">
        <v>135</v>
      </c>
      <c r="Y128" s="601"/>
      <c r="Z128" s="182" t="str">
        <f>데이터입력!$AB$8</f>
        <v>00</v>
      </c>
      <c r="AA128" s="185" t="str">
        <f>데이터입력!$AC$9</f>
        <v>일반사업[일반]</v>
      </c>
      <c r="AB128" s="183" t="str">
        <f>IFERROR(IF(데이터입력!$AE$2="추경",VLOOKUP($A128,#REF!,4,FALSE),""),"")</f>
        <v/>
      </c>
      <c r="AC128" s="183" t="str">
        <f>IFERROR(IF(데이터입력!$AE$2="추경",VLOOKUP($A128,#REF!,5,FALSE),""),"")</f>
        <v/>
      </c>
      <c r="AD128" s="183" t="str">
        <f>IFERROR(IF(데이터입력!$AE$2="추경",VLOOKUP($A128,#REF!,6,FALSE),""),"")</f>
        <v/>
      </c>
      <c r="AE128" s="183" t="str">
        <f>IFERROR(IF(데이터입력!$AE$2="추경",VLOOKUP($A128,#REF!,7,FALSE),""),"")</f>
        <v/>
      </c>
      <c r="AF128" s="183"/>
      <c r="AG128" s="184" t="str">
        <f>IFERROR(IF(데이터입력!$AE$2="추경",VLOOKUP($A128,#REF!,9,FALSE),""),"")</f>
        <v/>
      </c>
      <c r="AH128" s="184" t="str">
        <f>IFERROR(IF(데이터입력!$AE$2="추경",VLOOKUP($A128,#REF!,10,FALSE),""),"")</f>
        <v/>
      </c>
      <c r="AI128" s="184" t="str">
        <f>IFERROR(IF(데이터입력!$AE$2="추경",VLOOKUP($A128,#REF!,11,FALSE),""),"")</f>
        <v/>
      </c>
      <c r="AJ128" s="184" t="str">
        <f>IFERROR(IF(데이터입력!$AE$2="추경",VLOOKUP($A128,#REF!,12,FALSE),""),"")</f>
        <v/>
      </c>
      <c r="AK128" s="184" t="str">
        <f>IFERROR(IF(데이터입력!$AE$2="추경",VLOOKUP($A128,#REF!,13,FALSE),""),"")</f>
        <v/>
      </c>
    </row>
    <row r="129" spans="1:37">
      <c r="A129" s="180">
        <v>127</v>
      </c>
      <c r="B129" s="608" t="str">
        <f>IFERROR(IF(F129="06",데이터입력!$AB$8,IF(F129="07",데이터입력!$AD$8,IF(F129="05",데이터입력!$AF$8,데이터입력!$AB$8))),데이터입력!$AB$8)</f>
        <v>00</v>
      </c>
      <c r="C129" s="609" t="str">
        <f>데이터입력!$AC$9</f>
        <v>일반사업[일반]</v>
      </c>
      <c r="D129" s="610" t="str">
        <f>IFERROR(IF(AND(데이터입력!$AE$2="추경",데이터입력!$AM$2=TRUE),VLOOKUP($A129,데이터입력!$A:$H,4,FALSE),""),"")</f>
        <v/>
      </c>
      <c r="E129" s="610" t="str">
        <f>IFERROR(IF(AND(데이터입력!$AE$2="추경",데이터입력!$AM$2=TRUE),VLOOKUP($A129,데이터입력!$A:$H,2,FALSE),""),"")</f>
        <v/>
      </c>
      <c r="F129" s="610" t="str">
        <f>IFERROR(IF(AND(데이터입력!$AE$2="추경",데이터입력!$AM$2=TRUE),VLOOKUP($A129,데이터입력!$A:$H,5,FALSE),""),"")</f>
        <v/>
      </c>
      <c r="G129" s="610" t="str">
        <f>IFERROR(IF(AND(데이터입력!$AE$2="추경",데이터입력!$AM$2=TRUE),VLOOKUP($A129,데이터입력!$A:$H,6,FALSE),""),"")</f>
        <v/>
      </c>
      <c r="H129" s="611" t="str">
        <f>IFERROR(IF(AND(데이터입력!$AE$2="추경",데이터입력!$AM$2=TRUE),VLOOKUP($A129,데이터입력!$A:$L,7,FALSE),""),"")</f>
        <v/>
      </c>
      <c r="I129" s="611" t="str">
        <f>IFERROR(IF(AND(데이터입력!$AE$2="추경",데이터입력!$AM$2=TRUE),VLOOKUP($A129,데이터입력!$A:$L,8,FALSE)+VLOOKUP($A129,데이터입력!$A:$L,9,FALSE)+VLOOKUP($A129,데이터입력!$A:$L,10,FALSE),""),"")</f>
        <v/>
      </c>
      <c r="J129" s="612" t="s">
        <v>135</v>
      </c>
      <c r="K129" s="612" t="s">
        <v>135</v>
      </c>
      <c r="L129" s="612" t="s">
        <v>135</v>
      </c>
      <c r="M129" s="604"/>
      <c r="N129" s="180">
        <v>327</v>
      </c>
      <c r="O129" s="616" t="str">
        <f>IFERROR(IF(S129="06",데이터입력!$AB$8,IF(S129="07",데이터입력!$AD$8,IF(S129="05",데이터입력!$AF$8,데이터입력!$AB$8))),데이터입력!$AB$8)</f>
        <v>00</v>
      </c>
      <c r="P129" s="617" t="str">
        <f>데이터입력!$AC$9</f>
        <v>일반사업[일반]</v>
      </c>
      <c r="Q129" s="618" t="str">
        <f>IFERROR(IF(데이터입력!$AE$2="추경",VLOOKUP($N129,데이터입력!$A:$H,4,FALSE),""),"")</f>
        <v/>
      </c>
      <c r="R129" s="618" t="str">
        <f>IFERROR(IF(데이터입력!$AE$2="추경",VLOOKUP($N129,데이터입력!$A:$H,2,FALSE),""),"")</f>
        <v/>
      </c>
      <c r="S129" s="618" t="str">
        <f>IFERROR(IF(데이터입력!$AE$2="추경",VLOOKUP($N129,데이터입력!$A:$H,5,FALSE),""),"")</f>
        <v/>
      </c>
      <c r="T129" s="618" t="str">
        <f>IFERROR(IF(데이터입력!$AE$2="추경",VLOOKUP($N129,데이터입력!$A:$H,6,FALSE),""),"")</f>
        <v/>
      </c>
      <c r="U129" s="619" t="str">
        <f>IFERROR(IF(데이터입력!$AE$2="추경",VLOOKUP($N129,데이터입력!$A:$L,8,FALSE)+VLOOKUP($N129,데이터입력!$A:$L,9,FALSE)+VLOOKUP($N129,데이터입력!$A:$L,10,FALSE),""),"")</f>
        <v/>
      </c>
      <c r="V129" s="620" t="s">
        <v>135</v>
      </c>
      <c r="W129" s="620" t="s">
        <v>135</v>
      </c>
      <c r="X129" s="620" t="s">
        <v>135</v>
      </c>
      <c r="Y129" s="601"/>
      <c r="Z129" s="182" t="str">
        <f>데이터입력!$AB$8</f>
        <v>00</v>
      </c>
      <c r="AA129" s="185" t="str">
        <f>데이터입력!$AC$9</f>
        <v>일반사업[일반]</v>
      </c>
      <c r="AB129" s="183" t="str">
        <f>IFERROR(IF(데이터입력!$AE$2="추경",VLOOKUP($A129,#REF!,4,FALSE),""),"")</f>
        <v/>
      </c>
      <c r="AC129" s="183" t="str">
        <f>IFERROR(IF(데이터입력!$AE$2="추경",VLOOKUP($A129,#REF!,5,FALSE),""),"")</f>
        <v/>
      </c>
      <c r="AD129" s="183" t="str">
        <f>IFERROR(IF(데이터입력!$AE$2="추경",VLOOKUP($A129,#REF!,6,FALSE),""),"")</f>
        <v/>
      </c>
      <c r="AE129" s="183" t="str">
        <f>IFERROR(IF(데이터입력!$AE$2="추경",VLOOKUP($A129,#REF!,7,FALSE),""),"")</f>
        <v/>
      </c>
      <c r="AF129" s="183"/>
      <c r="AG129" s="184" t="str">
        <f>IFERROR(IF(데이터입력!$AE$2="추경",VLOOKUP($A129,#REF!,9,FALSE),""),"")</f>
        <v/>
      </c>
      <c r="AH129" s="184" t="str">
        <f>IFERROR(IF(데이터입력!$AE$2="추경",VLOOKUP($A129,#REF!,10,FALSE),""),"")</f>
        <v/>
      </c>
      <c r="AI129" s="184" t="str">
        <f>IFERROR(IF(데이터입력!$AE$2="추경",VLOOKUP($A129,#REF!,11,FALSE),""),"")</f>
        <v/>
      </c>
      <c r="AJ129" s="184" t="str">
        <f>IFERROR(IF(데이터입력!$AE$2="추경",VLOOKUP($A129,#REF!,12,FALSE),""),"")</f>
        <v/>
      </c>
      <c r="AK129" s="184" t="str">
        <f>IFERROR(IF(데이터입력!$AE$2="추경",VLOOKUP($A129,#REF!,13,FALSE),""),"")</f>
        <v/>
      </c>
    </row>
    <row r="130" spans="1:37">
      <c r="A130" s="180">
        <v>128</v>
      </c>
      <c r="B130" s="608" t="str">
        <f>IFERROR(IF(F130="06",데이터입력!$AB$8,IF(F130="07",데이터입력!$AD$8,IF(F130="05",데이터입력!$AF$8,데이터입력!$AB$8))),데이터입력!$AB$8)</f>
        <v>00</v>
      </c>
      <c r="C130" s="609" t="str">
        <f>데이터입력!$AC$9</f>
        <v>일반사업[일반]</v>
      </c>
      <c r="D130" s="610" t="str">
        <f>IFERROR(IF(AND(데이터입력!$AE$2="추경",데이터입력!$AM$2=TRUE),VLOOKUP($A130,데이터입력!$A:$H,4,FALSE),""),"")</f>
        <v/>
      </c>
      <c r="E130" s="610" t="str">
        <f>IFERROR(IF(AND(데이터입력!$AE$2="추경",데이터입력!$AM$2=TRUE),VLOOKUP($A130,데이터입력!$A:$H,2,FALSE),""),"")</f>
        <v/>
      </c>
      <c r="F130" s="610" t="str">
        <f>IFERROR(IF(AND(데이터입력!$AE$2="추경",데이터입력!$AM$2=TRUE),VLOOKUP($A130,데이터입력!$A:$H,5,FALSE),""),"")</f>
        <v/>
      </c>
      <c r="G130" s="610" t="str">
        <f>IFERROR(IF(AND(데이터입력!$AE$2="추경",데이터입력!$AM$2=TRUE),VLOOKUP($A130,데이터입력!$A:$H,6,FALSE),""),"")</f>
        <v/>
      </c>
      <c r="H130" s="611" t="str">
        <f>IFERROR(IF(AND(데이터입력!$AE$2="추경",데이터입력!$AM$2=TRUE),VLOOKUP($A130,데이터입력!$A:$L,7,FALSE),""),"")</f>
        <v/>
      </c>
      <c r="I130" s="611" t="str">
        <f>IFERROR(IF(AND(데이터입력!$AE$2="추경",데이터입력!$AM$2=TRUE),VLOOKUP($A130,데이터입력!$A:$L,8,FALSE)+VLOOKUP($A130,데이터입력!$A:$L,9,FALSE)+VLOOKUP($A130,데이터입력!$A:$L,10,FALSE),""),"")</f>
        <v/>
      </c>
      <c r="J130" s="612" t="s">
        <v>135</v>
      </c>
      <c r="K130" s="612" t="s">
        <v>135</v>
      </c>
      <c r="L130" s="612" t="s">
        <v>135</v>
      </c>
      <c r="M130" s="604"/>
      <c r="N130" s="180">
        <v>328</v>
      </c>
      <c r="O130" s="616" t="str">
        <f>IFERROR(IF(S130="06",데이터입력!$AB$8,IF(S130="07",데이터입력!$AD$8,IF(S130="05",데이터입력!$AF$8,데이터입력!$AB$8))),데이터입력!$AB$8)</f>
        <v>00</v>
      </c>
      <c r="P130" s="617" t="str">
        <f>데이터입력!$AC$9</f>
        <v>일반사업[일반]</v>
      </c>
      <c r="Q130" s="618" t="str">
        <f>IFERROR(IF(데이터입력!$AE$2="추경",VLOOKUP($N130,데이터입력!$A:$H,4,FALSE),""),"")</f>
        <v/>
      </c>
      <c r="R130" s="618" t="str">
        <f>IFERROR(IF(데이터입력!$AE$2="추경",VLOOKUP($N130,데이터입력!$A:$H,2,FALSE),""),"")</f>
        <v/>
      </c>
      <c r="S130" s="618" t="str">
        <f>IFERROR(IF(데이터입력!$AE$2="추경",VLOOKUP($N130,데이터입력!$A:$H,5,FALSE),""),"")</f>
        <v/>
      </c>
      <c r="T130" s="618" t="str">
        <f>IFERROR(IF(데이터입력!$AE$2="추경",VLOOKUP($N130,데이터입력!$A:$H,6,FALSE),""),"")</f>
        <v/>
      </c>
      <c r="U130" s="619" t="str">
        <f>IFERROR(IF(데이터입력!$AE$2="추경",VLOOKUP($N130,데이터입력!$A:$L,8,FALSE)+VLOOKUP($N130,데이터입력!$A:$L,9,FALSE)+VLOOKUP($N130,데이터입력!$A:$L,10,FALSE),""),"")</f>
        <v/>
      </c>
      <c r="V130" s="620" t="s">
        <v>135</v>
      </c>
      <c r="W130" s="620" t="s">
        <v>135</v>
      </c>
      <c r="X130" s="620" t="s">
        <v>135</v>
      </c>
      <c r="Y130" s="601"/>
      <c r="Z130" s="182" t="str">
        <f>데이터입력!$AB$8</f>
        <v>00</v>
      </c>
      <c r="AA130" s="185" t="str">
        <f>데이터입력!$AC$9</f>
        <v>일반사업[일반]</v>
      </c>
      <c r="AB130" s="183" t="str">
        <f>IFERROR(IF(데이터입력!$AE$2="추경",VLOOKUP($A130,#REF!,4,FALSE),""),"")</f>
        <v/>
      </c>
      <c r="AC130" s="183" t="str">
        <f>IFERROR(IF(데이터입력!$AE$2="추경",VLOOKUP($A130,#REF!,5,FALSE),""),"")</f>
        <v/>
      </c>
      <c r="AD130" s="183" t="str">
        <f>IFERROR(IF(데이터입력!$AE$2="추경",VLOOKUP($A130,#REF!,6,FALSE),""),"")</f>
        <v/>
      </c>
      <c r="AE130" s="183" t="str">
        <f>IFERROR(IF(데이터입력!$AE$2="추경",VLOOKUP($A130,#REF!,7,FALSE),""),"")</f>
        <v/>
      </c>
      <c r="AF130" s="183"/>
      <c r="AG130" s="184" t="str">
        <f>IFERROR(IF(데이터입력!$AE$2="추경",VLOOKUP($A130,#REF!,9,FALSE),""),"")</f>
        <v/>
      </c>
      <c r="AH130" s="184" t="str">
        <f>IFERROR(IF(데이터입력!$AE$2="추경",VLOOKUP($A130,#REF!,10,FALSE),""),"")</f>
        <v/>
      </c>
      <c r="AI130" s="184" t="str">
        <f>IFERROR(IF(데이터입력!$AE$2="추경",VLOOKUP($A130,#REF!,11,FALSE),""),"")</f>
        <v/>
      </c>
      <c r="AJ130" s="184" t="str">
        <f>IFERROR(IF(데이터입력!$AE$2="추경",VLOOKUP($A130,#REF!,12,FALSE),""),"")</f>
        <v/>
      </c>
      <c r="AK130" s="184" t="str">
        <f>IFERROR(IF(데이터입력!$AE$2="추경",VLOOKUP($A130,#REF!,13,FALSE),""),"")</f>
        <v/>
      </c>
    </row>
    <row r="131" spans="1:37">
      <c r="A131" s="180">
        <v>129</v>
      </c>
      <c r="B131" s="608" t="str">
        <f>IFERROR(IF(F131="06",데이터입력!$AB$8,IF(F131="07",데이터입력!$AD$8,IF(F131="05",데이터입력!$AF$8,데이터입력!$AB$8))),데이터입력!$AB$8)</f>
        <v>00</v>
      </c>
      <c r="C131" s="609" t="str">
        <f>데이터입력!$AC$9</f>
        <v>일반사업[일반]</v>
      </c>
      <c r="D131" s="610" t="str">
        <f>IFERROR(IF(AND(데이터입력!$AE$2="추경",데이터입력!$AM$2=TRUE),VLOOKUP($A131,데이터입력!$A:$H,4,FALSE),""),"")</f>
        <v/>
      </c>
      <c r="E131" s="610" t="str">
        <f>IFERROR(IF(AND(데이터입력!$AE$2="추경",데이터입력!$AM$2=TRUE),VLOOKUP($A131,데이터입력!$A:$H,2,FALSE),""),"")</f>
        <v/>
      </c>
      <c r="F131" s="610" t="str">
        <f>IFERROR(IF(AND(데이터입력!$AE$2="추경",데이터입력!$AM$2=TRUE),VLOOKUP($A131,데이터입력!$A:$H,5,FALSE),""),"")</f>
        <v/>
      </c>
      <c r="G131" s="610" t="str">
        <f>IFERROR(IF(AND(데이터입력!$AE$2="추경",데이터입력!$AM$2=TRUE),VLOOKUP($A131,데이터입력!$A:$H,6,FALSE),""),"")</f>
        <v/>
      </c>
      <c r="H131" s="611" t="str">
        <f>IFERROR(IF(AND(데이터입력!$AE$2="추경",데이터입력!$AM$2=TRUE),VLOOKUP($A131,데이터입력!$A:$L,7,FALSE),""),"")</f>
        <v/>
      </c>
      <c r="I131" s="611" t="str">
        <f>IFERROR(IF(AND(데이터입력!$AE$2="추경",데이터입력!$AM$2=TRUE),VLOOKUP($A131,데이터입력!$A:$L,8,FALSE)+VLOOKUP($A131,데이터입력!$A:$L,9,FALSE)+VLOOKUP($A131,데이터입력!$A:$L,10,FALSE),""),"")</f>
        <v/>
      </c>
      <c r="J131" s="612" t="s">
        <v>135</v>
      </c>
      <c r="K131" s="612" t="s">
        <v>135</v>
      </c>
      <c r="L131" s="612" t="s">
        <v>135</v>
      </c>
      <c r="M131" s="604"/>
      <c r="N131" s="180">
        <v>329</v>
      </c>
      <c r="O131" s="616" t="str">
        <f>IFERROR(IF(S131="06",데이터입력!$AB$8,IF(S131="07",데이터입력!$AD$8,IF(S131="05",데이터입력!$AF$8,데이터입력!$AB$8))),데이터입력!$AB$8)</f>
        <v>00</v>
      </c>
      <c r="P131" s="617" t="str">
        <f>데이터입력!$AC$9</f>
        <v>일반사업[일반]</v>
      </c>
      <c r="Q131" s="618" t="str">
        <f>IFERROR(IF(데이터입력!$AE$2="추경",VLOOKUP($N131,데이터입력!$A:$H,4,FALSE),""),"")</f>
        <v/>
      </c>
      <c r="R131" s="618" t="str">
        <f>IFERROR(IF(데이터입력!$AE$2="추경",VLOOKUP($N131,데이터입력!$A:$H,2,FALSE),""),"")</f>
        <v/>
      </c>
      <c r="S131" s="618" t="str">
        <f>IFERROR(IF(데이터입력!$AE$2="추경",VLOOKUP($N131,데이터입력!$A:$H,5,FALSE),""),"")</f>
        <v/>
      </c>
      <c r="T131" s="618" t="str">
        <f>IFERROR(IF(데이터입력!$AE$2="추경",VLOOKUP($N131,데이터입력!$A:$H,6,FALSE),""),"")</f>
        <v/>
      </c>
      <c r="U131" s="619" t="str">
        <f>IFERROR(IF(데이터입력!$AE$2="추경",VLOOKUP($N131,데이터입력!$A:$L,8,FALSE)+VLOOKUP($N131,데이터입력!$A:$L,9,FALSE)+VLOOKUP($N131,데이터입력!$A:$L,10,FALSE),""),"")</f>
        <v/>
      </c>
      <c r="V131" s="620" t="s">
        <v>135</v>
      </c>
      <c r="W131" s="620" t="s">
        <v>135</v>
      </c>
      <c r="X131" s="620" t="s">
        <v>135</v>
      </c>
      <c r="Y131" s="601"/>
      <c r="Z131" s="182" t="str">
        <f>데이터입력!$AB$8</f>
        <v>00</v>
      </c>
      <c r="AA131" s="185" t="str">
        <f>데이터입력!$AC$9</f>
        <v>일반사업[일반]</v>
      </c>
      <c r="AB131" s="183" t="str">
        <f>IFERROR(IF(데이터입력!$AE$2="추경",VLOOKUP($A131,#REF!,4,FALSE),""),"")</f>
        <v/>
      </c>
      <c r="AC131" s="183" t="str">
        <f>IFERROR(IF(데이터입력!$AE$2="추경",VLOOKUP($A131,#REF!,5,FALSE),""),"")</f>
        <v/>
      </c>
      <c r="AD131" s="183" t="str">
        <f>IFERROR(IF(데이터입력!$AE$2="추경",VLOOKUP($A131,#REF!,6,FALSE),""),"")</f>
        <v/>
      </c>
      <c r="AE131" s="183" t="str">
        <f>IFERROR(IF(데이터입력!$AE$2="추경",VLOOKUP($A131,#REF!,7,FALSE),""),"")</f>
        <v/>
      </c>
      <c r="AF131" s="183"/>
      <c r="AG131" s="184" t="str">
        <f>IFERROR(IF(데이터입력!$AE$2="추경",VLOOKUP($A131,#REF!,9,FALSE),""),"")</f>
        <v/>
      </c>
      <c r="AH131" s="184" t="str">
        <f>IFERROR(IF(데이터입력!$AE$2="추경",VLOOKUP($A131,#REF!,10,FALSE),""),"")</f>
        <v/>
      </c>
      <c r="AI131" s="184" t="str">
        <f>IFERROR(IF(데이터입력!$AE$2="추경",VLOOKUP($A131,#REF!,11,FALSE),""),"")</f>
        <v/>
      </c>
      <c r="AJ131" s="184" t="str">
        <f>IFERROR(IF(데이터입력!$AE$2="추경",VLOOKUP($A131,#REF!,12,FALSE),""),"")</f>
        <v/>
      </c>
      <c r="AK131" s="184" t="str">
        <f>IFERROR(IF(데이터입력!$AE$2="추경",VLOOKUP($A131,#REF!,13,FALSE),""),"")</f>
        <v/>
      </c>
    </row>
    <row r="132" spans="1:37">
      <c r="A132" s="180">
        <v>130</v>
      </c>
      <c r="B132" s="608" t="str">
        <f>IFERROR(IF(F132="06",데이터입력!$AB$8,IF(F132="07",데이터입력!$AD$8,IF(F132="05",데이터입력!$AF$8,데이터입력!$AB$8))),데이터입력!$AB$8)</f>
        <v>00</v>
      </c>
      <c r="C132" s="609" t="str">
        <f>데이터입력!$AC$9</f>
        <v>일반사업[일반]</v>
      </c>
      <c r="D132" s="610" t="str">
        <f>IFERROR(IF(AND(데이터입력!$AE$2="추경",데이터입력!$AM$2=TRUE),VLOOKUP($A132,데이터입력!$A:$H,4,FALSE),""),"")</f>
        <v/>
      </c>
      <c r="E132" s="610" t="str">
        <f>IFERROR(IF(AND(데이터입력!$AE$2="추경",데이터입력!$AM$2=TRUE),VLOOKUP($A132,데이터입력!$A:$H,2,FALSE),""),"")</f>
        <v/>
      </c>
      <c r="F132" s="610" t="str">
        <f>IFERROR(IF(AND(데이터입력!$AE$2="추경",데이터입력!$AM$2=TRUE),VLOOKUP($A132,데이터입력!$A:$H,5,FALSE),""),"")</f>
        <v/>
      </c>
      <c r="G132" s="610" t="str">
        <f>IFERROR(IF(AND(데이터입력!$AE$2="추경",데이터입력!$AM$2=TRUE),VLOOKUP($A132,데이터입력!$A:$H,6,FALSE),""),"")</f>
        <v/>
      </c>
      <c r="H132" s="611" t="str">
        <f>IFERROR(IF(AND(데이터입력!$AE$2="추경",데이터입력!$AM$2=TRUE),VLOOKUP($A132,데이터입력!$A:$L,7,FALSE),""),"")</f>
        <v/>
      </c>
      <c r="I132" s="611" t="str">
        <f>IFERROR(IF(AND(데이터입력!$AE$2="추경",데이터입력!$AM$2=TRUE),VLOOKUP($A132,데이터입력!$A:$L,8,FALSE)+VLOOKUP($A132,데이터입력!$A:$L,9,FALSE)+VLOOKUP($A132,데이터입력!$A:$L,10,FALSE),""),"")</f>
        <v/>
      </c>
      <c r="J132" s="612" t="s">
        <v>135</v>
      </c>
      <c r="K132" s="612" t="s">
        <v>135</v>
      </c>
      <c r="L132" s="612" t="s">
        <v>135</v>
      </c>
      <c r="M132" s="604"/>
      <c r="N132" s="180">
        <v>330</v>
      </c>
      <c r="O132" s="616" t="str">
        <f>IFERROR(IF(S132="06",데이터입력!$AB$8,IF(S132="07",데이터입력!$AD$8,IF(S132="05",데이터입력!$AF$8,데이터입력!$AB$8))),데이터입력!$AB$8)</f>
        <v>00</v>
      </c>
      <c r="P132" s="617" t="str">
        <f>데이터입력!$AC$9</f>
        <v>일반사업[일반]</v>
      </c>
      <c r="Q132" s="618" t="str">
        <f>IFERROR(IF(데이터입력!$AE$2="추경",VLOOKUP($N132,데이터입력!$A:$H,4,FALSE),""),"")</f>
        <v/>
      </c>
      <c r="R132" s="618" t="str">
        <f>IFERROR(IF(데이터입력!$AE$2="추경",VLOOKUP($N132,데이터입력!$A:$H,2,FALSE),""),"")</f>
        <v/>
      </c>
      <c r="S132" s="618" t="str">
        <f>IFERROR(IF(데이터입력!$AE$2="추경",VLOOKUP($N132,데이터입력!$A:$H,5,FALSE),""),"")</f>
        <v/>
      </c>
      <c r="T132" s="618" t="str">
        <f>IFERROR(IF(데이터입력!$AE$2="추경",VLOOKUP($N132,데이터입력!$A:$H,6,FALSE),""),"")</f>
        <v/>
      </c>
      <c r="U132" s="619" t="str">
        <f>IFERROR(IF(데이터입력!$AE$2="추경",VLOOKUP($N132,데이터입력!$A:$L,8,FALSE)+VLOOKUP($N132,데이터입력!$A:$L,9,FALSE)+VLOOKUP($N132,데이터입력!$A:$L,10,FALSE),""),"")</f>
        <v/>
      </c>
      <c r="V132" s="620" t="s">
        <v>135</v>
      </c>
      <c r="W132" s="620" t="s">
        <v>135</v>
      </c>
      <c r="X132" s="620" t="s">
        <v>135</v>
      </c>
      <c r="Y132" s="601"/>
      <c r="Z132" s="182" t="str">
        <f>데이터입력!$AB$8</f>
        <v>00</v>
      </c>
      <c r="AA132" s="185" t="str">
        <f>데이터입력!$AC$9</f>
        <v>일반사업[일반]</v>
      </c>
      <c r="AB132" s="183" t="str">
        <f>IFERROR(IF(데이터입력!$AE$2="추경",VLOOKUP($A132,#REF!,4,FALSE),""),"")</f>
        <v/>
      </c>
      <c r="AC132" s="183" t="str">
        <f>IFERROR(IF(데이터입력!$AE$2="추경",VLOOKUP($A132,#REF!,5,FALSE),""),"")</f>
        <v/>
      </c>
      <c r="AD132" s="183" t="str">
        <f>IFERROR(IF(데이터입력!$AE$2="추경",VLOOKUP($A132,#REF!,6,FALSE),""),"")</f>
        <v/>
      </c>
      <c r="AE132" s="183" t="str">
        <f>IFERROR(IF(데이터입력!$AE$2="추경",VLOOKUP($A132,#REF!,7,FALSE),""),"")</f>
        <v/>
      </c>
      <c r="AF132" s="183"/>
      <c r="AG132" s="184" t="str">
        <f>IFERROR(IF(데이터입력!$AE$2="추경",VLOOKUP($A132,#REF!,9,FALSE),""),"")</f>
        <v/>
      </c>
      <c r="AH132" s="184" t="str">
        <f>IFERROR(IF(데이터입력!$AE$2="추경",VLOOKUP($A132,#REF!,10,FALSE),""),"")</f>
        <v/>
      </c>
      <c r="AI132" s="184" t="str">
        <f>IFERROR(IF(데이터입력!$AE$2="추경",VLOOKUP($A132,#REF!,11,FALSE),""),"")</f>
        <v/>
      </c>
      <c r="AJ132" s="184" t="str">
        <f>IFERROR(IF(데이터입력!$AE$2="추경",VLOOKUP($A132,#REF!,12,FALSE),""),"")</f>
        <v/>
      </c>
      <c r="AK132" s="184" t="str">
        <f>IFERROR(IF(데이터입력!$AE$2="추경",VLOOKUP($A132,#REF!,13,FALSE),""),"")</f>
        <v/>
      </c>
    </row>
    <row r="133" spans="1:37">
      <c r="A133" s="180">
        <v>131</v>
      </c>
      <c r="B133" s="608" t="str">
        <f>IFERROR(IF(F133="06",데이터입력!$AB$8,IF(F133="07",데이터입력!$AD$8,IF(F133="05",데이터입력!$AF$8,데이터입력!$AB$8))),데이터입력!$AB$8)</f>
        <v>00</v>
      </c>
      <c r="C133" s="609" t="str">
        <f>데이터입력!$AC$9</f>
        <v>일반사업[일반]</v>
      </c>
      <c r="D133" s="610" t="str">
        <f>IFERROR(IF(AND(데이터입력!$AE$2="추경",데이터입력!$AM$2=TRUE),VLOOKUP($A133,데이터입력!$A:$H,4,FALSE),""),"")</f>
        <v/>
      </c>
      <c r="E133" s="610" t="str">
        <f>IFERROR(IF(AND(데이터입력!$AE$2="추경",데이터입력!$AM$2=TRUE),VLOOKUP($A133,데이터입력!$A:$H,2,FALSE),""),"")</f>
        <v/>
      </c>
      <c r="F133" s="610" t="str">
        <f>IFERROR(IF(AND(데이터입력!$AE$2="추경",데이터입력!$AM$2=TRUE),VLOOKUP($A133,데이터입력!$A:$H,5,FALSE),""),"")</f>
        <v/>
      </c>
      <c r="G133" s="610" t="str">
        <f>IFERROR(IF(AND(데이터입력!$AE$2="추경",데이터입력!$AM$2=TRUE),VLOOKUP($A133,데이터입력!$A:$H,6,FALSE),""),"")</f>
        <v/>
      </c>
      <c r="H133" s="611" t="str">
        <f>IFERROR(IF(AND(데이터입력!$AE$2="추경",데이터입력!$AM$2=TRUE),VLOOKUP($A133,데이터입력!$A:$L,7,FALSE),""),"")</f>
        <v/>
      </c>
      <c r="I133" s="611" t="str">
        <f>IFERROR(IF(AND(데이터입력!$AE$2="추경",데이터입력!$AM$2=TRUE),VLOOKUP($A133,데이터입력!$A:$L,8,FALSE)+VLOOKUP($A133,데이터입력!$A:$L,9,FALSE)+VLOOKUP($A133,데이터입력!$A:$L,10,FALSE),""),"")</f>
        <v/>
      </c>
      <c r="J133" s="612" t="s">
        <v>135</v>
      </c>
      <c r="K133" s="612" t="s">
        <v>135</v>
      </c>
      <c r="L133" s="612" t="s">
        <v>135</v>
      </c>
      <c r="M133" s="604"/>
      <c r="N133" s="180">
        <v>331</v>
      </c>
      <c r="O133" s="616" t="str">
        <f>IFERROR(IF(S133="06",데이터입력!$AB$8,IF(S133="07",데이터입력!$AD$8,IF(S133="05",데이터입력!$AF$8,데이터입력!$AB$8))),데이터입력!$AB$8)</f>
        <v>00</v>
      </c>
      <c r="P133" s="617" t="str">
        <f>데이터입력!$AC$9</f>
        <v>일반사업[일반]</v>
      </c>
      <c r="Q133" s="618" t="str">
        <f>IFERROR(IF(데이터입력!$AE$2="추경",VLOOKUP($N133,데이터입력!$A:$H,4,FALSE),""),"")</f>
        <v/>
      </c>
      <c r="R133" s="618" t="str">
        <f>IFERROR(IF(데이터입력!$AE$2="추경",VLOOKUP($N133,데이터입력!$A:$H,2,FALSE),""),"")</f>
        <v/>
      </c>
      <c r="S133" s="618" t="str">
        <f>IFERROR(IF(데이터입력!$AE$2="추경",VLOOKUP($N133,데이터입력!$A:$H,5,FALSE),""),"")</f>
        <v/>
      </c>
      <c r="T133" s="618" t="str">
        <f>IFERROR(IF(데이터입력!$AE$2="추경",VLOOKUP($N133,데이터입력!$A:$H,6,FALSE),""),"")</f>
        <v/>
      </c>
      <c r="U133" s="619" t="str">
        <f>IFERROR(IF(데이터입력!$AE$2="추경",VLOOKUP($N133,데이터입력!$A:$L,8,FALSE)+VLOOKUP($N133,데이터입력!$A:$L,9,FALSE)+VLOOKUP($N133,데이터입력!$A:$L,10,FALSE),""),"")</f>
        <v/>
      </c>
      <c r="V133" s="620" t="s">
        <v>135</v>
      </c>
      <c r="W133" s="620" t="s">
        <v>135</v>
      </c>
      <c r="X133" s="620" t="s">
        <v>135</v>
      </c>
      <c r="Y133" s="601"/>
      <c r="Z133" s="182" t="str">
        <f>데이터입력!$AB$8</f>
        <v>00</v>
      </c>
      <c r="AA133" s="185" t="str">
        <f>데이터입력!$AC$9</f>
        <v>일반사업[일반]</v>
      </c>
      <c r="AB133" s="183" t="str">
        <f>IFERROR(IF(데이터입력!$AE$2="추경",VLOOKUP($A133,#REF!,4,FALSE),""),"")</f>
        <v/>
      </c>
      <c r="AC133" s="183" t="str">
        <f>IFERROR(IF(데이터입력!$AE$2="추경",VLOOKUP($A133,#REF!,5,FALSE),""),"")</f>
        <v/>
      </c>
      <c r="AD133" s="183" t="str">
        <f>IFERROR(IF(데이터입력!$AE$2="추경",VLOOKUP($A133,#REF!,6,FALSE),""),"")</f>
        <v/>
      </c>
      <c r="AE133" s="183" t="str">
        <f>IFERROR(IF(데이터입력!$AE$2="추경",VLOOKUP($A133,#REF!,7,FALSE),""),"")</f>
        <v/>
      </c>
      <c r="AF133" s="183"/>
      <c r="AG133" s="184" t="str">
        <f>IFERROR(IF(데이터입력!$AE$2="추경",VLOOKUP($A133,#REF!,9,FALSE),""),"")</f>
        <v/>
      </c>
      <c r="AH133" s="184" t="str">
        <f>IFERROR(IF(데이터입력!$AE$2="추경",VLOOKUP($A133,#REF!,10,FALSE),""),"")</f>
        <v/>
      </c>
      <c r="AI133" s="184" t="str">
        <f>IFERROR(IF(데이터입력!$AE$2="추경",VLOOKUP($A133,#REF!,11,FALSE),""),"")</f>
        <v/>
      </c>
      <c r="AJ133" s="184" t="str">
        <f>IFERROR(IF(데이터입력!$AE$2="추경",VLOOKUP($A133,#REF!,12,FALSE),""),"")</f>
        <v/>
      </c>
      <c r="AK133" s="184" t="str">
        <f>IFERROR(IF(데이터입력!$AE$2="추경",VLOOKUP($A133,#REF!,13,FALSE),""),"")</f>
        <v/>
      </c>
    </row>
    <row r="134" spans="1:37">
      <c r="A134" s="180">
        <v>132</v>
      </c>
      <c r="B134" s="608" t="str">
        <f>IFERROR(IF(F134="06",데이터입력!$AB$8,IF(F134="07",데이터입력!$AD$8,IF(F134="05",데이터입력!$AF$8,데이터입력!$AB$8))),데이터입력!$AB$8)</f>
        <v>00</v>
      </c>
      <c r="C134" s="609" t="str">
        <f>데이터입력!$AC$9</f>
        <v>일반사업[일반]</v>
      </c>
      <c r="D134" s="610" t="str">
        <f>IFERROR(IF(AND(데이터입력!$AE$2="추경",데이터입력!$AM$2=TRUE),VLOOKUP($A134,데이터입력!$A:$H,4,FALSE),""),"")</f>
        <v/>
      </c>
      <c r="E134" s="610" t="str">
        <f>IFERROR(IF(AND(데이터입력!$AE$2="추경",데이터입력!$AM$2=TRUE),VLOOKUP($A134,데이터입력!$A:$H,2,FALSE),""),"")</f>
        <v/>
      </c>
      <c r="F134" s="610" t="str">
        <f>IFERROR(IF(AND(데이터입력!$AE$2="추경",데이터입력!$AM$2=TRUE),VLOOKUP($A134,데이터입력!$A:$H,5,FALSE),""),"")</f>
        <v/>
      </c>
      <c r="G134" s="610" t="str">
        <f>IFERROR(IF(AND(데이터입력!$AE$2="추경",데이터입력!$AM$2=TRUE),VLOOKUP($A134,데이터입력!$A:$H,6,FALSE),""),"")</f>
        <v/>
      </c>
      <c r="H134" s="611" t="str">
        <f>IFERROR(IF(AND(데이터입력!$AE$2="추경",데이터입력!$AM$2=TRUE),VLOOKUP($A134,데이터입력!$A:$L,7,FALSE),""),"")</f>
        <v/>
      </c>
      <c r="I134" s="611" t="str">
        <f>IFERROR(IF(AND(데이터입력!$AE$2="추경",데이터입력!$AM$2=TRUE),VLOOKUP($A134,데이터입력!$A:$L,8,FALSE)+VLOOKUP($A134,데이터입력!$A:$L,9,FALSE)+VLOOKUP($A134,데이터입력!$A:$L,10,FALSE),""),"")</f>
        <v/>
      </c>
      <c r="J134" s="612" t="s">
        <v>135</v>
      </c>
      <c r="K134" s="612" t="s">
        <v>135</v>
      </c>
      <c r="L134" s="612" t="s">
        <v>135</v>
      </c>
      <c r="M134" s="604"/>
      <c r="N134" s="180">
        <v>332</v>
      </c>
      <c r="O134" s="616" t="str">
        <f>IFERROR(IF(S134="06",데이터입력!$AB$8,IF(S134="07",데이터입력!$AD$8,IF(S134="05",데이터입력!$AF$8,데이터입력!$AB$8))),데이터입력!$AB$8)</f>
        <v>00</v>
      </c>
      <c r="P134" s="617" t="str">
        <f>데이터입력!$AC$9</f>
        <v>일반사업[일반]</v>
      </c>
      <c r="Q134" s="618" t="str">
        <f>IFERROR(IF(데이터입력!$AE$2="추경",VLOOKUP($N134,데이터입력!$A:$H,4,FALSE),""),"")</f>
        <v/>
      </c>
      <c r="R134" s="618" t="str">
        <f>IFERROR(IF(데이터입력!$AE$2="추경",VLOOKUP($N134,데이터입력!$A:$H,2,FALSE),""),"")</f>
        <v/>
      </c>
      <c r="S134" s="618" t="str">
        <f>IFERROR(IF(데이터입력!$AE$2="추경",VLOOKUP($N134,데이터입력!$A:$H,5,FALSE),""),"")</f>
        <v/>
      </c>
      <c r="T134" s="618" t="str">
        <f>IFERROR(IF(데이터입력!$AE$2="추경",VLOOKUP($N134,데이터입력!$A:$H,6,FALSE),""),"")</f>
        <v/>
      </c>
      <c r="U134" s="619" t="str">
        <f>IFERROR(IF(데이터입력!$AE$2="추경",VLOOKUP($N134,데이터입력!$A:$L,8,FALSE)+VLOOKUP($N134,데이터입력!$A:$L,9,FALSE)+VLOOKUP($N134,데이터입력!$A:$L,10,FALSE),""),"")</f>
        <v/>
      </c>
      <c r="V134" s="620" t="s">
        <v>135</v>
      </c>
      <c r="W134" s="620" t="s">
        <v>135</v>
      </c>
      <c r="X134" s="620" t="s">
        <v>135</v>
      </c>
      <c r="Y134" s="601"/>
      <c r="Z134" s="182" t="str">
        <f>데이터입력!$AB$8</f>
        <v>00</v>
      </c>
      <c r="AA134" s="185" t="str">
        <f>데이터입력!$AC$9</f>
        <v>일반사업[일반]</v>
      </c>
      <c r="AB134" s="183" t="str">
        <f>IFERROR(IF(데이터입력!$AE$2="추경",VLOOKUP($A134,#REF!,4,FALSE),""),"")</f>
        <v/>
      </c>
      <c r="AC134" s="183" t="str">
        <f>IFERROR(IF(데이터입력!$AE$2="추경",VLOOKUP($A134,#REF!,5,FALSE),""),"")</f>
        <v/>
      </c>
      <c r="AD134" s="183" t="str">
        <f>IFERROR(IF(데이터입력!$AE$2="추경",VLOOKUP($A134,#REF!,6,FALSE),""),"")</f>
        <v/>
      </c>
      <c r="AE134" s="183" t="str">
        <f>IFERROR(IF(데이터입력!$AE$2="추경",VLOOKUP($A134,#REF!,7,FALSE),""),"")</f>
        <v/>
      </c>
      <c r="AF134" s="183"/>
      <c r="AG134" s="184" t="str">
        <f>IFERROR(IF(데이터입력!$AE$2="추경",VLOOKUP($A134,#REF!,9,FALSE),""),"")</f>
        <v/>
      </c>
      <c r="AH134" s="184" t="str">
        <f>IFERROR(IF(데이터입력!$AE$2="추경",VLOOKUP($A134,#REF!,10,FALSE),""),"")</f>
        <v/>
      </c>
      <c r="AI134" s="184" t="str">
        <f>IFERROR(IF(데이터입력!$AE$2="추경",VLOOKUP($A134,#REF!,11,FALSE),""),"")</f>
        <v/>
      </c>
      <c r="AJ134" s="184" t="str">
        <f>IFERROR(IF(데이터입력!$AE$2="추경",VLOOKUP($A134,#REF!,12,FALSE),""),"")</f>
        <v/>
      </c>
      <c r="AK134" s="184" t="str">
        <f>IFERROR(IF(데이터입력!$AE$2="추경",VLOOKUP($A134,#REF!,13,FALSE),""),"")</f>
        <v/>
      </c>
    </row>
    <row r="135" spans="1:37">
      <c r="A135" s="180">
        <v>133</v>
      </c>
      <c r="B135" s="608" t="str">
        <f>IFERROR(IF(F135="06",데이터입력!$AB$8,IF(F135="07",데이터입력!$AD$8,IF(F135="05",데이터입력!$AF$8,데이터입력!$AB$8))),데이터입력!$AB$8)</f>
        <v>00</v>
      </c>
      <c r="C135" s="609" t="str">
        <f>데이터입력!$AC$9</f>
        <v>일반사업[일반]</v>
      </c>
      <c r="D135" s="610" t="str">
        <f>IFERROR(IF(AND(데이터입력!$AE$2="추경",데이터입력!$AM$2=TRUE),VLOOKUP($A135,데이터입력!$A:$H,4,FALSE),""),"")</f>
        <v/>
      </c>
      <c r="E135" s="610" t="str">
        <f>IFERROR(IF(AND(데이터입력!$AE$2="추경",데이터입력!$AM$2=TRUE),VLOOKUP($A135,데이터입력!$A:$H,2,FALSE),""),"")</f>
        <v/>
      </c>
      <c r="F135" s="610" t="str">
        <f>IFERROR(IF(AND(데이터입력!$AE$2="추경",데이터입력!$AM$2=TRUE),VLOOKUP($A135,데이터입력!$A:$H,5,FALSE),""),"")</f>
        <v/>
      </c>
      <c r="G135" s="610" t="str">
        <f>IFERROR(IF(AND(데이터입력!$AE$2="추경",데이터입력!$AM$2=TRUE),VLOOKUP($A135,데이터입력!$A:$H,6,FALSE),""),"")</f>
        <v/>
      </c>
      <c r="H135" s="611" t="str">
        <f>IFERROR(IF(AND(데이터입력!$AE$2="추경",데이터입력!$AM$2=TRUE),VLOOKUP($A135,데이터입력!$A:$L,7,FALSE),""),"")</f>
        <v/>
      </c>
      <c r="I135" s="611" t="str">
        <f>IFERROR(IF(AND(데이터입력!$AE$2="추경",데이터입력!$AM$2=TRUE),VLOOKUP($A135,데이터입력!$A:$L,8,FALSE)+VLOOKUP($A135,데이터입력!$A:$L,9,FALSE)+VLOOKUP($A135,데이터입력!$A:$L,10,FALSE),""),"")</f>
        <v/>
      </c>
      <c r="J135" s="612" t="s">
        <v>135</v>
      </c>
      <c r="K135" s="612" t="s">
        <v>135</v>
      </c>
      <c r="L135" s="612" t="s">
        <v>135</v>
      </c>
      <c r="M135" s="604"/>
      <c r="N135" s="180">
        <v>333</v>
      </c>
      <c r="O135" s="616" t="str">
        <f>IFERROR(IF(S135="06",데이터입력!$AB$8,IF(S135="07",데이터입력!$AD$8,IF(S135="05",데이터입력!$AF$8,데이터입력!$AB$8))),데이터입력!$AB$8)</f>
        <v>00</v>
      </c>
      <c r="P135" s="617" t="str">
        <f>데이터입력!$AC$9</f>
        <v>일반사업[일반]</v>
      </c>
      <c r="Q135" s="618" t="str">
        <f>IFERROR(IF(데이터입력!$AE$2="추경",VLOOKUP($N135,데이터입력!$A:$H,4,FALSE),""),"")</f>
        <v/>
      </c>
      <c r="R135" s="618" t="str">
        <f>IFERROR(IF(데이터입력!$AE$2="추경",VLOOKUP($N135,데이터입력!$A:$H,2,FALSE),""),"")</f>
        <v/>
      </c>
      <c r="S135" s="618" t="str">
        <f>IFERROR(IF(데이터입력!$AE$2="추경",VLOOKUP($N135,데이터입력!$A:$H,5,FALSE),""),"")</f>
        <v/>
      </c>
      <c r="T135" s="618" t="str">
        <f>IFERROR(IF(데이터입력!$AE$2="추경",VLOOKUP($N135,데이터입력!$A:$H,6,FALSE),""),"")</f>
        <v/>
      </c>
      <c r="U135" s="619" t="str">
        <f>IFERROR(IF(데이터입력!$AE$2="추경",VLOOKUP($N135,데이터입력!$A:$L,8,FALSE)+VLOOKUP($N135,데이터입력!$A:$L,9,FALSE)+VLOOKUP($N135,데이터입력!$A:$L,10,FALSE),""),"")</f>
        <v/>
      </c>
      <c r="V135" s="620" t="s">
        <v>135</v>
      </c>
      <c r="W135" s="620" t="s">
        <v>135</v>
      </c>
      <c r="X135" s="620" t="s">
        <v>135</v>
      </c>
      <c r="Y135" s="601"/>
      <c r="Z135" s="182" t="str">
        <f>데이터입력!$AB$8</f>
        <v>00</v>
      </c>
      <c r="AA135" s="185" t="str">
        <f>데이터입력!$AC$9</f>
        <v>일반사업[일반]</v>
      </c>
      <c r="AB135" s="183" t="str">
        <f>IFERROR(IF(데이터입력!$AE$2="추경",VLOOKUP($A135,#REF!,4,FALSE),""),"")</f>
        <v/>
      </c>
      <c r="AC135" s="183" t="str">
        <f>IFERROR(IF(데이터입력!$AE$2="추경",VLOOKUP($A135,#REF!,5,FALSE),""),"")</f>
        <v/>
      </c>
      <c r="AD135" s="183" t="str">
        <f>IFERROR(IF(데이터입력!$AE$2="추경",VLOOKUP($A135,#REF!,6,FALSE),""),"")</f>
        <v/>
      </c>
      <c r="AE135" s="183" t="str">
        <f>IFERROR(IF(데이터입력!$AE$2="추경",VLOOKUP($A135,#REF!,7,FALSE),""),"")</f>
        <v/>
      </c>
      <c r="AF135" s="183"/>
      <c r="AG135" s="184" t="str">
        <f>IFERROR(IF(데이터입력!$AE$2="추경",VLOOKUP($A135,#REF!,9,FALSE),""),"")</f>
        <v/>
      </c>
      <c r="AH135" s="184" t="str">
        <f>IFERROR(IF(데이터입력!$AE$2="추경",VLOOKUP($A135,#REF!,10,FALSE),""),"")</f>
        <v/>
      </c>
      <c r="AI135" s="184" t="str">
        <f>IFERROR(IF(데이터입력!$AE$2="추경",VLOOKUP($A135,#REF!,11,FALSE),""),"")</f>
        <v/>
      </c>
      <c r="AJ135" s="184" t="str">
        <f>IFERROR(IF(데이터입력!$AE$2="추경",VLOOKUP($A135,#REF!,12,FALSE),""),"")</f>
        <v/>
      </c>
      <c r="AK135" s="184" t="str">
        <f>IFERROR(IF(데이터입력!$AE$2="추경",VLOOKUP($A135,#REF!,13,FALSE),""),"")</f>
        <v/>
      </c>
    </row>
    <row r="136" spans="1:37">
      <c r="A136" s="180">
        <v>134</v>
      </c>
      <c r="B136" s="608" t="str">
        <f>IFERROR(IF(F136="06",데이터입력!$AB$8,IF(F136="07",데이터입력!$AD$8,IF(F136="05",데이터입력!$AF$8,데이터입력!$AB$8))),데이터입력!$AB$8)</f>
        <v>00</v>
      </c>
      <c r="C136" s="609" t="str">
        <f>데이터입력!$AC$9</f>
        <v>일반사업[일반]</v>
      </c>
      <c r="D136" s="610" t="str">
        <f>IFERROR(IF(AND(데이터입력!$AE$2="추경",데이터입력!$AM$2=TRUE),VLOOKUP($A136,데이터입력!$A:$H,4,FALSE),""),"")</f>
        <v/>
      </c>
      <c r="E136" s="610" t="str">
        <f>IFERROR(IF(AND(데이터입력!$AE$2="추경",데이터입력!$AM$2=TRUE),VLOOKUP($A136,데이터입력!$A:$H,2,FALSE),""),"")</f>
        <v/>
      </c>
      <c r="F136" s="610" t="str">
        <f>IFERROR(IF(AND(데이터입력!$AE$2="추경",데이터입력!$AM$2=TRUE),VLOOKUP($A136,데이터입력!$A:$H,5,FALSE),""),"")</f>
        <v/>
      </c>
      <c r="G136" s="610" t="str">
        <f>IFERROR(IF(AND(데이터입력!$AE$2="추경",데이터입력!$AM$2=TRUE),VLOOKUP($A136,데이터입력!$A:$H,6,FALSE),""),"")</f>
        <v/>
      </c>
      <c r="H136" s="611" t="str">
        <f>IFERROR(IF(AND(데이터입력!$AE$2="추경",데이터입력!$AM$2=TRUE),VLOOKUP($A136,데이터입력!$A:$L,7,FALSE),""),"")</f>
        <v/>
      </c>
      <c r="I136" s="611" t="str">
        <f>IFERROR(IF(AND(데이터입력!$AE$2="추경",데이터입력!$AM$2=TRUE),VLOOKUP($A136,데이터입력!$A:$L,8,FALSE)+VLOOKUP($A136,데이터입력!$A:$L,9,FALSE)+VLOOKUP($A136,데이터입력!$A:$L,10,FALSE),""),"")</f>
        <v/>
      </c>
      <c r="J136" s="612" t="s">
        <v>135</v>
      </c>
      <c r="K136" s="612" t="s">
        <v>135</v>
      </c>
      <c r="L136" s="612" t="s">
        <v>135</v>
      </c>
      <c r="M136" s="604"/>
      <c r="N136" s="180">
        <v>334</v>
      </c>
      <c r="O136" s="616" t="str">
        <f>IFERROR(IF(S136="06",데이터입력!$AB$8,IF(S136="07",데이터입력!$AD$8,IF(S136="05",데이터입력!$AF$8,데이터입력!$AB$8))),데이터입력!$AB$8)</f>
        <v>00</v>
      </c>
      <c r="P136" s="617" t="str">
        <f>데이터입력!$AC$9</f>
        <v>일반사업[일반]</v>
      </c>
      <c r="Q136" s="618" t="str">
        <f>IFERROR(IF(데이터입력!$AE$2="추경",VLOOKUP($N136,데이터입력!$A:$H,4,FALSE),""),"")</f>
        <v/>
      </c>
      <c r="R136" s="618" t="str">
        <f>IFERROR(IF(데이터입력!$AE$2="추경",VLOOKUP($N136,데이터입력!$A:$H,2,FALSE),""),"")</f>
        <v/>
      </c>
      <c r="S136" s="618" t="str">
        <f>IFERROR(IF(데이터입력!$AE$2="추경",VLOOKUP($N136,데이터입력!$A:$H,5,FALSE),""),"")</f>
        <v/>
      </c>
      <c r="T136" s="618" t="str">
        <f>IFERROR(IF(데이터입력!$AE$2="추경",VLOOKUP($N136,데이터입력!$A:$H,6,FALSE),""),"")</f>
        <v/>
      </c>
      <c r="U136" s="619" t="str">
        <f>IFERROR(IF(데이터입력!$AE$2="추경",VLOOKUP($N136,데이터입력!$A:$L,8,FALSE)+VLOOKUP($N136,데이터입력!$A:$L,9,FALSE)+VLOOKUP($N136,데이터입력!$A:$L,10,FALSE),""),"")</f>
        <v/>
      </c>
      <c r="V136" s="620" t="s">
        <v>135</v>
      </c>
      <c r="W136" s="620" t="s">
        <v>135</v>
      </c>
      <c r="X136" s="620" t="s">
        <v>135</v>
      </c>
      <c r="Y136" s="601"/>
      <c r="Z136" s="182" t="str">
        <f>데이터입력!$AB$8</f>
        <v>00</v>
      </c>
      <c r="AA136" s="185" t="str">
        <f>데이터입력!$AC$9</f>
        <v>일반사업[일반]</v>
      </c>
      <c r="AB136" s="183" t="str">
        <f>IFERROR(IF(데이터입력!$AE$2="추경",VLOOKUP($A136,#REF!,4,FALSE),""),"")</f>
        <v/>
      </c>
      <c r="AC136" s="183" t="str">
        <f>IFERROR(IF(데이터입력!$AE$2="추경",VLOOKUP($A136,#REF!,5,FALSE),""),"")</f>
        <v/>
      </c>
      <c r="AD136" s="183" t="str">
        <f>IFERROR(IF(데이터입력!$AE$2="추경",VLOOKUP($A136,#REF!,6,FALSE),""),"")</f>
        <v/>
      </c>
      <c r="AE136" s="183" t="str">
        <f>IFERROR(IF(데이터입력!$AE$2="추경",VLOOKUP($A136,#REF!,7,FALSE),""),"")</f>
        <v/>
      </c>
      <c r="AF136" s="183"/>
      <c r="AG136" s="184" t="str">
        <f>IFERROR(IF(데이터입력!$AE$2="추경",VLOOKUP($A136,#REF!,9,FALSE),""),"")</f>
        <v/>
      </c>
      <c r="AH136" s="184" t="str">
        <f>IFERROR(IF(데이터입력!$AE$2="추경",VLOOKUP($A136,#REF!,10,FALSE),""),"")</f>
        <v/>
      </c>
      <c r="AI136" s="184" t="str">
        <f>IFERROR(IF(데이터입력!$AE$2="추경",VLOOKUP($A136,#REF!,11,FALSE),""),"")</f>
        <v/>
      </c>
      <c r="AJ136" s="184" t="str">
        <f>IFERROR(IF(데이터입력!$AE$2="추경",VLOOKUP($A136,#REF!,12,FALSE),""),"")</f>
        <v/>
      </c>
      <c r="AK136" s="184" t="str">
        <f>IFERROR(IF(데이터입력!$AE$2="추경",VLOOKUP($A136,#REF!,13,FALSE),""),"")</f>
        <v/>
      </c>
    </row>
    <row r="137" spans="1:37">
      <c r="A137" s="180">
        <v>135</v>
      </c>
      <c r="B137" s="608" t="str">
        <f>IFERROR(IF(F137="06",데이터입력!$AB$8,IF(F137="07",데이터입력!$AD$8,IF(F137="05",데이터입력!$AF$8,데이터입력!$AB$8))),데이터입력!$AB$8)</f>
        <v>00</v>
      </c>
      <c r="C137" s="609" t="str">
        <f>데이터입력!$AC$9</f>
        <v>일반사업[일반]</v>
      </c>
      <c r="D137" s="610" t="str">
        <f>IFERROR(IF(AND(데이터입력!$AE$2="추경",데이터입력!$AM$2=TRUE),VLOOKUP($A137,데이터입력!$A:$H,4,FALSE),""),"")</f>
        <v/>
      </c>
      <c r="E137" s="610" t="str">
        <f>IFERROR(IF(AND(데이터입력!$AE$2="추경",데이터입력!$AM$2=TRUE),VLOOKUP($A137,데이터입력!$A:$H,2,FALSE),""),"")</f>
        <v/>
      </c>
      <c r="F137" s="610" t="str">
        <f>IFERROR(IF(AND(데이터입력!$AE$2="추경",데이터입력!$AM$2=TRUE),VLOOKUP($A137,데이터입력!$A:$H,5,FALSE),""),"")</f>
        <v/>
      </c>
      <c r="G137" s="610" t="str">
        <f>IFERROR(IF(AND(데이터입력!$AE$2="추경",데이터입력!$AM$2=TRUE),VLOOKUP($A137,데이터입력!$A:$H,6,FALSE),""),"")</f>
        <v/>
      </c>
      <c r="H137" s="611" t="str">
        <f>IFERROR(IF(AND(데이터입력!$AE$2="추경",데이터입력!$AM$2=TRUE),VLOOKUP($A137,데이터입력!$A:$L,7,FALSE),""),"")</f>
        <v/>
      </c>
      <c r="I137" s="611" t="str">
        <f>IFERROR(IF(AND(데이터입력!$AE$2="추경",데이터입력!$AM$2=TRUE),VLOOKUP($A137,데이터입력!$A:$L,8,FALSE)+VLOOKUP($A137,데이터입력!$A:$L,9,FALSE)+VLOOKUP($A137,데이터입력!$A:$L,10,FALSE),""),"")</f>
        <v/>
      </c>
      <c r="J137" s="612" t="s">
        <v>135</v>
      </c>
      <c r="K137" s="612" t="s">
        <v>135</v>
      </c>
      <c r="L137" s="612" t="s">
        <v>135</v>
      </c>
      <c r="M137" s="604"/>
      <c r="N137" s="180">
        <v>335</v>
      </c>
      <c r="O137" s="616" t="str">
        <f>IFERROR(IF(S137="06",데이터입력!$AB$8,IF(S137="07",데이터입력!$AD$8,IF(S137="05",데이터입력!$AF$8,데이터입력!$AB$8))),데이터입력!$AB$8)</f>
        <v>00</v>
      </c>
      <c r="P137" s="617" t="str">
        <f>데이터입력!$AC$9</f>
        <v>일반사업[일반]</v>
      </c>
      <c r="Q137" s="618" t="str">
        <f>IFERROR(IF(데이터입력!$AE$2="추경",VLOOKUP($N137,데이터입력!$A:$H,4,FALSE),""),"")</f>
        <v/>
      </c>
      <c r="R137" s="618" t="str">
        <f>IFERROR(IF(데이터입력!$AE$2="추경",VLOOKUP($N137,데이터입력!$A:$H,2,FALSE),""),"")</f>
        <v/>
      </c>
      <c r="S137" s="618" t="str">
        <f>IFERROR(IF(데이터입력!$AE$2="추경",VLOOKUP($N137,데이터입력!$A:$H,5,FALSE),""),"")</f>
        <v/>
      </c>
      <c r="T137" s="618" t="str">
        <f>IFERROR(IF(데이터입력!$AE$2="추경",VLOOKUP($N137,데이터입력!$A:$H,6,FALSE),""),"")</f>
        <v/>
      </c>
      <c r="U137" s="619" t="str">
        <f>IFERROR(IF(데이터입력!$AE$2="추경",VLOOKUP($N137,데이터입력!$A:$L,8,FALSE)+VLOOKUP($N137,데이터입력!$A:$L,9,FALSE)+VLOOKUP($N137,데이터입력!$A:$L,10,FALSE),""),"")</f>
        <v/>
      </c>
      <c r="V137" s="620" t="s">
        <v>135</v>
      </c>
      <c r="W137" s="620" t="s">
        <v>135</v>
      </c>
      <c r="X137" s="620" t="s">
        <v>135</v>
      </c>
      <c r="Y137" s="601"/>
      <c r="Z137" s="182" t="str">
        <f>데이터입력!$AB$8</f>
        <v>00</v>
      </c>
      <c r="AA137" s="185" t="str">
        <f>데이터입력!$AC$9</f>
        <v>일반사업[일반]</v>
      </c>
      <c r="AB137" s="183" t="str">
        <f>IFERROR(IF(데이터입력!$AE$2="추경",VLOOKUP($A137,#REF!,4,FALSE),""),"")</f>
        <v/>
      </c>
      <c r="AC137" s="183" t="str">
        <f>IFERROR(IF(데이터입력!$AE$2="추경",VLOOKUP($A137,#REF!,5,FALSE),""),"")</f>
        <v/>
      </c>
      <c r="AD137" s="183" t="str">
        <f>IFERROR(IF(데이터입력!$AE$2="추경",VLOOKUP($A137,#REF!,6,FALSE),""),"")</f>
        <v/>
      </c>
      <c r="AE137" s="183" t="str">
        <f>IFERROR(IF(데이터입력!$AE$2="추경",VLOOKUP($A137,#REF!,7,FALSE),""),"")</f>
        <v/>
      </c>
      <c r="AF137" s="183"/>
      <c r="AG137" s="184" t="str">
        <f>IFERROR(IF(데이터입력!$AE$2="추경",VLOOKUP($A137,#REF!,9,FALSE),""),"")</f>
        <v/>
      </c>
      <c r="AH137" s="184" t="str">
        <f>IFERROR(IF(데이터입력!$AE$2="추경",VLOOKUP($A137,#REF!,10,FALSE),""),"")</f>
        <v/>
      </c>
      <c r="AI137" s="184" t="str">
        <f>IFERROR(IF(데이터입력!$AE$2="추경",VLOOKUP($A137,#REF!,11,FALSE),""),"")</f>
        <v/>
      </c>
      <c r="AJ137" s="184" t="str">
        <f>IFERROR(IF(데이터입력!$AE$2="추경",VLOOKUP($A137,#REF!,12,FALSE),""),"")</f>
        <v/>
      </c>
      <c r="AK137" s="184" t="str">
        <f>IFERROR(IF(데이터입력!$AE$2="추경",VLOOKUP($A137,#REF!,13,FALSE),""),"")</f>
        <v/>
      </c>
    </row>
    <row r="138" spans="1:37">
      <c r="A138" s="180">
        <v>136</v>
      </c>
      <c r="B138" s="608" t="str">
        <f>IFERROR(IF(F138="06",데이터입력!$AB$8,IF(F138="07",데이터입력!$AD$8,IF(F138="05",데이터입력!$AF$8,데이터입력!$AB$8))),데이터입력!$AB$8)</f>
        <v>00</v>
      </c>
      <c r="C138" s="609" t="str">
        <f>데이터입력!$AC$9</f>
        <v>일반사업[일반]</v>
      </c>
      <c r="D138" s="610" t="str">
        <f>IFERROR(IF(AND(데이터입력!$AE$2="추경",데이터입력!$AM$2=TRUE),VLOOKUP($A138,데이터입력!$A:$H,4,FALSE),""),"")</f>
        <v/>
      </c>
      <c r="E138" s="610" t="str">
        <f>IFERROR(IF(AND(데이터입력!$AE$2="추경",데이터입력!$AM$2=TRUE),VLOOKUP($A138,데이터입력!$A:$H,2,FALSE),""),"")</f>
        <v/>
      </c>
      <c r="F138" s="610" t="str">
        <f>IFERROR(IF(AND(데이터입력!$AE$2="추경",데이터입력!$AM$2=TRUE),VLOOKUP($A138,데이터입력!$A:$H,5,FALSE),""),"")</f>
        <v/>
      </c>
      <c r="G138" s="610" t="str">
        <f>IFERROR(IF(AND(데이터입력!$AE$2="추경",데이터입력!$AM$2=TRUE),VLOOKUP($A138,데이터입력!$A:$H,6,FALSE),""),"")</f>
        <v/>
      </c>
      <c r="H138" s="611" t="str">
        <f>IFERROR(IF(AND(데이터입력!$AE$2="추경",데이터입력!$AM$2=TRUE),VLOOKUP($A138,데이터입력!$A:$L,7,FALSE),""),"")</f>
        <v/>
      </c>
      <c r="I138" s="611" t="str">
        <f>IFERROR(IF(AND(데이터입력!$AE$2="추경",데이터입력!$AM$2=TRUE),VLOOKUP($A138,데이터입력!$A:$L,8,FALSE)+VLOOKUP($A138,데이터입력!$A:$L,9,FALSE)+VLOOKUP($A138,데이터입력!$A:$L,10,FALSE),""),"")</f>
        <v/>
      </c>
      <c r="J138" s="612" t="s">
        <v>135</v>
      </c>
      <c r="K138" s="612" t="s">
        <v>135</v>
      </c>
      <c r="L138" s="612" t="s">
        <v>135</v>
      </c>
      <c r="M138" s="604"/>
      <c r="N138" s="180">
        <v>336</v>
      </c>
      <c r="O138" s="616" t="str">
        <f>IFERROR(IF(S138="06",데이터입력!$AB$8,IF(S138="07",데이터입력!$AD$8,IF(S138="05",데이터입력!$AF$8,데이터입력!$AB$8))),데이터입력!$AB$8)</f>
        <v>00</v>
      </c>
      <c r="P138" s="617" t="str">
        <f>데이터입력!$AC$9</f>
        <v>일반사업[일반]</v>
      </c>
      <c r="Q138" s="618" t="str">
        <f>IFERROR(IF(데이터입력!$AE$2="추경",VLOOKUP($N138,데이터입력!$A:$H,4,FALSE),""),"")</f>
        <v/>
      </c>
      <c r="R138" s="618" t="str">
        <f>IFERROR(IF(데이터입력!$AE$2="추경",VLOOKUP($N138,데이터입력!$A:$H,2,FALSE),""),"")</f>
        <v/>
      </c>
      <c r="S138" s="618" t="str">
        <f>IFERROR(IF(데이터입력!$AE$2="추경",VLOOKUP($N138,데이터입력!$A:$H,5,FALSE),""),"")</f>
        <v/>
      </c>
      <c r="T138" s="618" t="str">
        <f>IFERROR(IF(데이터입력!$AE$2="추경",VLOOKUP($N138,데이터입력!$A:$H,6,FALSE),""),"")</f>
        <v/>
      </c>
      <c r="U138" s="619" t="str">
        <f>IFERROR(IF(데이터입력!$AE$2="추경",VLOOKUP($N138,데이터입력!$A:$L,8,FALSE)+VLOOKUP($N138,데이터입력!$A:$L,9,FALSE)+VLOOKUP($N138,데이터입력!$A:$L,10,FALSE),""),"")</f>
        <v/>
      </c>
      <c r="V138" s="620" t="s">
        <v>135</v>
      </c>
      <c r="W138" s="620" t="s">
        <v>135</v>
      </c>
      <c r="X138" s="620" t="s">
        <v>135</v>
      </c>
      <c r="Y138" s="601"/>
      <c r="Z138" s="182" t="str">
        <f>데이터입력!$AB$8</f>
        <v>00</v>
      </c>
      <c r="AA138" s="185" t="str">
        <f>데이터입력!$AC$9</f>
        <v>일반사업[일반]</v>
      </c>
      <c r="AB138" s="183" t="str">
        <f>IFERROR(IF(데이터입력!$AE$2="추경",VLOOKUP($A138,#REF!,4,FALSE),""),"")</f>
        <v/>
      </c>
      <c r="AC138" s="183" t="str">
        <f>IFERROR(IF(데이터입력!$AE$2="추경",VLOOKUP($A138,#REF!,5,FALSE),""),"")</f>
        <v/>
      </c>
      <c r="AD138" s="183" t="str">
        <f>IFERROR(IF(데이터입력!$AE$2="추경",VLOOKUP($A138,#REF!,6,FALSE),""),"")</f>
        <v/>
      </c>
      <c r="AE138" s="183" t="str">
        <f>IFERROR(IF(데이터입력!$AE$2="추경",VLOOKUP($A138,#REF!,7,FALSE),""),"")</f>
        <v/>
      </c>
      <c r="AF138" s="183"/>
      <c r="AG138" s="184" t="str">
        <f>IFERROR(IF(데이터입력!$AE$2="추경",VLOOKUP($A138,#REF!,9,FALSE),""),"")</f>
        <v/>
      </c>
      <c r="AH138" s="184" t="str">
        <f>IFERROR(IF(데이터입력!$AE$2="추경",VLOOKUP($A138,#REF!,10,FALSE),""),"")</f>
        <v/>
      </c>
      <c r="AI138" s="184" t="str">
        <f>IFERROR(IF(데이터입력!$AE$2="추경",VLOOKUP($A138,#REF!,11,FALSE),""),"")</f>
        <v/>
      </c>
      <c r="AJ138" s="184" t="str">
        <f>IFERROR(IF(데이터입력!$AE$2="추경",VLOOKUP($A138,#REF!,12,FALSE),""),"")</f>
        <v/>
      </c>
      <c r="AK138" s="184" t="str">
        <f>IFERROR(IF(데이터입력!$AE$2="추경",VLOOKUP($A138,#REF!,13,FALSE),""),"")</f>
        <v/>
      </c>
    </row>
    <row r="139" spans="1:37">
      <c r="A139" s="180">
        <v>137</v>
      </c>
      <c r="B139" s="608" t="str">
        <f>IFERROR(IF(F139="06",데이터입력!$AB$8,IF(F139="07",데이터입력!$AD$8,IF(F139="05",데이터입력!$AF$8,데이터입력!$AB$8))),데이터입력!$AB$8)</f>
        <v>00</v>
      </c>
      <c r="C139" s="609" t="str">
        <f>데이터입력!$AC$9</f>
        <v>일반사업[일반]</v>
      </c>
      <c r="D139" s="610" t="str">
        <f>IFERROR(IF(AND(데이터입력!$AE$2="추경",데이터입력!$AM$2=TRUE),VLOOKUP($A139,데이터입력!$A:$H,4,FALSE),""),"")</f>
        <v/>
      </c>
      <c r="E139" s="610" t="str">
        <f>IFERROR(IF(AND(데이터입력!$AE$2="추경",데이터입력!$AM$2=TRUE),VLOOKUP($A139,데이터입력!$A:$H,2,FALSE),""),"")</f>
        <v/>
      </c>
      <c r="F139" s="610" t="str">
        <f>IFERROR(IF(AND(데이터입력!$AE$2="추경",데이터입력!$AM$2=TRUE),VLOOKUP($A139,데이터입력!$A:$H,5,FALSE),""),"")</f>
        <v/>
      </c>
      <c r="G139" s="610" t="str">
        <f>IFERROR(IF(AND(데이터입력!$AE$2="추경",데이터입력!$AM$2=TRUE),VLOOKUP($A139,데이터입력!$A:$H,6,FALSE),""),"")</f>
        <v/>
      </c>
      <c r="H139" s="611" t="str">
        <f>IFERROR(IF(AND(데이터입력!$AE$2="추경",데이터입력!$AM$2=TRUE),VLOOKUP($A139,데이터입력!$A:$L,7,FALSE),""),"")</f>
        <v/>
      </c>
      <c r="I139" s="611" t="str">
        <f>IFERROR(IF(AND(데이터입력!$AE$2="추경",데이터입력!$AM$2=TRUE),VLOOKUP($A139,데이터입력!$A:$L,8,FALSE)+VLOOKUP($A139,데이터입력!$A:$L,9,FALSE)+VLOOKUP($A139,데이터입력!$A:$L,10,FALSE),""),"")</f>
        <v/>
      </c>
      <c r="J139" s="612" t="s">
        <v>135</v>
      </c>
      <c r="K139" s="612" t="s">
        <v>135</v>
      </c>
      <c r="L139" s="612" t="s">
        <v>135</v>
      </c>
      <c r="M139" s="604"/>
      <c r="N139" s="180">
        <v>337</v>
      </c>
      <c r="O139" s="616" t="str">
        <f>IFERROR(IF(S139="06",데이터입력!$AB$8,IF(S139="07",데이터입력!$AD$8,IF(S139="05",데이터입력!$AF$8,데이터입력!$AB$8))),데이터입력!$AB$8)</f>
        <v>00</v>
      </c>
      <c r="P139" s="617" t="str">
        <f>데이터입력!$AC$9</f>
        <v>일반사업[일반]</v>
      </c>
      <c r="Q139" s="618" t="str">
        <f>IFERROR(IF(데이터입력!$AE$2="추경",VLOOKUP($N139,데이터입력!$A:$H,4,FALSE),""),"")</f>
        <v/>
      </c>
      <c r="R139" s="618" t="str">
        <f>IFERROR(IF(데이터입력!$AE$2="추경",VLOOKUP($N139,데이터입력!$A:$H,2,FALSE),""),"")</f>
        <v/>
      </c>
      <c r="S139" s="618" t="str">
        <f>IFERROR(IF(데이터입력!$AE$2="추경",VLOOKUP($N139,데이터입력!$A:$H,5,FALSE),""),"")</f>
        <v/>
      </c>
      <c r="T139" s="618" t="str">
        <f>IFERROR(IF(데이터입력!$AE$2="추경",VLOOKUP($N139,데이터입력!$A:$H,6,FALSE),""),"")</f>
        <v/>
      </c>
      <c r="U139" s="619" t="str">
        <f>IFERROR(IF(데이터입력!$AE$2="추경",VLOOKUP($N139,데이터입력!$A:$L,8,FALSE)+VLOOKUP($N139,데이터입력!$A:$L,9,FALSE)+VLOOKUP($N139,데이터입력!$A:$L,10,FALSE),""),"")</f>
        <v/>
      </c>
      <c r="V139" s="620" t="s">
        <v>135</v>
      </c>
      <c r="W139" s="620" t="s">
        <v>135</v>
      </c>
      <c r="X139" s="620" t="s">
        <v>135</v>
      </c>
      <c r="Y139" s="601"/>
      <c r="Z139" s="182" t="str">
        <f>데이터입력!$AB$8</f>
        <v>00</v>
      </c>
      <c r="AA139" s="185" t="str">
        <f>데이터입력!$AC$9</f>
        <v>일반사업[일반]</v>
      </c>
      <c r="AB139" s="183" t="str">
        <f>IFERROR(IF(데이터입력!$AE$2="추경",VLOOKUP($A139,#REF!,4,FALSE),""),"")</f>
        <v/>
      </c>
      <c r="AC139" s="183" t="str">
        <f>IFERROR(IF(데이터입력!$AE$2="추경",VLOOKUP($A139,#REF!,5,FALSE),""),"")</f>
        <v/>
      </c>
      <c r="AD139" s="183" t="str">
        <f>IFERROR(IF(데이터입력!$AE$2="추경",VLOOKUP($A139,#REF!,6,FALSE),""),"")</f>
        <v/>
      </c>
      <c r="AE139" s="183" t="str">
        <f>IFERROR(IF(데이터입력!$AE$2="추경",VLOOKUP($A139,#REF!,7,FALSE),""),"")</f>
        <v/>
      </c>
      <c r="AF139" s="183"/>
      <c r="AG139" s="184" t="str">
        <f>IFERROR(IF(데이터입력!$AE$2="추경",VLOOKUP($A139,#REF!,9,FALSE),""),"")</f>
        <v/>
      </c>
      <c r="AH139" s="184" t="str">
        <f>IFERROR(IF(데이터입력!$AE$2="추경",VLOOKUP($A139,#REF!,10,FALSE),""),"")</f>
        <v/>
      </c>
      <c r="AI139" s="184" t="str">
        <f>IFERROR(IF(데이터입력!$AE$2="추경",VLOOKUP($A139,#REF!,11,FALSE),""),"")</f>
        <v/>
      </c>
      <c r="AJ139" s="184" t="str">
        <f>IFERROR(IF(데이터입력!$AE$2="추경",VLOOKUP($A139,#REF!,12,FALSE),""),"")</f>
        <v/>
      </c>
      <c r="AK139" s="184" t="str">
        <f>IFERROR(IF(데이터입력!$AE$2="추경",VLOOKUP($A139,#REF!,13,FALSE),""),"")</f>
        <v/>
      </c>
    </row>
    <row r="140" spans="1:37">
      <c r="A140" s="180">
        <v>138</v>
      </c>
      <c r="B140" s="608" t="str">
        <f>IFERROR(IF(F140="06",데이터입력!$AB$8,IF(F140="07",데이터입력!$AD$8,IF(F140="05",데이터입력!$AF$8,데이터입력!$AB$8))),데이터입력!$AB$8)</f>
        <v>00</v>
      </c>
      <c r="C140" s="609" t="str">
        <f>데이터입력!$AC$9</f>
        <v>일반사업[일반]</v>
      </c>
      <c r="D140" s="610" t="str">
        <f>IFERROR(IF(AND(데이터입력!$AE$2="추경",데이터입력!$AM$2=TRUE),VLOOKUP($A140,데이터입력!$A:$H,4,FALSE),""),"")</f>
        <v/>
      </c>
      <c r="E140" s="610" t="str">
        <f>IFERROR(IF(AND(데이터입력!$AE$2="추경",데이터입력!$AM$2=TRUE),VLOOKUP($A140,데이터입력!$A:$H,2,FALSE),""),"")</f>
        <v/>
      </c>
      <c r="F140" s="610" t="str">
        <f>IFERROR(IF(AND(데이터입력!$AE$2="추경",데이터입력!$AM$2=TRUE),VLOOKUP($A140,데이터입력!$A:$H,5,FALSE),""),"")</f>
        <v/>
      </c>
      <c r="G140" s="610" t="str">
        <f>IFERROR(IF(AND(데이터입력!$AE$2="추경",데이터입력!$AM$2=TRUE),VLOOKUP($A140,데이터입력!$A:$H,6,FALSE),""),"")</f>
        <v/>
      </c>
      <c r="H140" s="611" t="str">
        <f>IFERROR(IF(AND(데이터입력!$AE$2="추경",데이터입력!$AM$2=TRUE),VLOOKUP($A140,데이터입력!$A:$L,7,FALSE),""),"")</f>
        <v/>
      </c>
      <c r="I140" s="611" t="str">
        <f>IFERROR(IF(AND(데이터입력!$AE$2="추경",데이터입력!$AM$2=TRUE),VLOOKUP($A140,데이터입력!$A:$L,8,FALSE)+VLOOKUP($A140,데이터입력!$A:$L,9,FALSE)+VLOOKUP($A140,데이터입력!$A:$L,10,FALSE),""),"")</f>
        <v/>
      </c>
      <c r="J140" s="612" t="s">
        <v>135</v>
      </c>
      <c r="K140" s="612" t="s">
        <v>135</v>
      </c>
      <c r="L140" s="612" t="s">
        <v>135</v>
      </c>
      <c r="M140" s="604"/>
      <c r="N140" s="180">
        <v>338</v>
      </c>
      <c r="O140" s="616" t="str">
        <f>IFERROR(IF(S140="06",데이터입력!$AB$8,IF(S140="07",데이터입력!$AD$8,IF(S140="05",데이터입력!$AF$8,데이터입력!$AB$8))),데이터입력!$AB$8)</f>
        <v>00</v>
      </c>
      <c r="P140" s="617" t="str">
        <f>데이터입력!$AC$9</f>
        <v>일반사업[일반]</v>
      </c>
      <c r="Q140" s="618" t="str">
        <f>IFERROR(IF(데이터입력!$AE$2="추경",VLOOKUP($N140,데이터입력!$A:$H,4,FALSE),""),"")</f>
        <v/>
      </c>
      <c r="R140" s="618" t="str">
        <f>IFERROR(IF(데이터입력!$AE$2="추경",VLOOKUP($N140,데이터입력!$A:$H,2,FALSE),""),"")</f>
        <v/>
      </c>
      <c r="S140" s="618" t="str">
        <f>IFERROR(IF(데이터입력!$AE$2="추경",VLOOKUP($N140,데이터입력!$A:$H,5,FALSE),""),"")</f>
        <v/>
      </c>
      <c r="T140" s="618" t="str">
        <f>IFERROR(IF(데이터입력!$AE$2="추경",VLOOKUP($N140,데이터입력!$A:$H,6,FALSE),""),"")</f>
        <v/>
      </c>
      <c r="U140" s="619" t="str">
        <f>IFERROR(IF(데이터입력!$AE$2="추경",VLOOKUP($N140,데이터입력!$A:$L,8,FALSE)+VLOOKUP($N140,데이터입력!$A:$L,9,FALSE)+VLOOKUP($N140,데이터입력!$A:$L,10,FALSE),""),"")</f>
        <v/>
      </c>
      <c r="V140" s="620" t="s">
        <v>135</v>
      </c>
      <c r="W140" s="620" t="s">
        <v>135</v>
      </c>
      <c r="X140" s="620" t="s">
        <v>135</v>
      </c>
      <c r="Y140" s="601"/>
      <c r="Z140" s="182" t="str">
        <f>데이터입력!$AB$8</f>
        <v>00</v>
      </c>
      <c r="AA140" s="185" t="str">
        <f>데이터입력!$AC$9</f>
        <v>일반사업[일반]</v>
      </c>
      <c r="AB140" s="183" t="str">
        <f>IFERROR(IF(데이터입력!$AE$2="추경",VLOOKUP($A140,#REF!,4,FALSE),""),"")</f>
        <v/>
      </c>
      <c r="AC140" s="183" t="str">
        <f>IFERROR(IF(데이터입력!$AE$2="추경",VLOOKUP($A140,#REF!,5,FALSE),""),"")</f>
        <v/>
      </c>
      <c r="AD140" s="183" t="str">
        <f>IFERROR(IF(데이터입력!$AE$2="추경",VLOOKUP($A140,#REF!,6,FALSE),""),"")</f>
        <v/>
      </c>
      <c r="AE140" s="183" t="str">
        <f>IFERROR(IF(데이터입력!$AE$2="추경",VLOOKUP($A140,#REF!,7,FALSE),""),"")</f>
        <v/>
      </c>
      <c r="AF140" s="183"/>
      <c r="AG140" s="184" t="str">
        <f>IFERROR(IF(데이터입력!$AE$2="추경",VLOOKUP($A140,#REF!,9,FALSE),""),"")</f>
        <v/>
      </c>
      <c r="AH140" s="184" t="str">
        <f>IFERROR(IF(데이터입력!$AE$2="추경",VLOOKUP($A140,#REF!,10,FALSE),""),"")</f>
        <v/>
      </c>
      <c r="AI140" s="184" t="str">
        <f>IFERROR(IF(데이터입력!$AE$2="추경",VLOOKUP($A140,#REF!,11,FALSE),""),"")</f>
        <v/>
      </c>
      <c r="AJ140" s="184" t="str">
        <f>IFERROR(IF(데이터입력!$AE$2="추경",VLOOKUP($A140,#REF!,12,FALSE),""),"")</f>
        <v/>
      </c>
      <c r="AK140" s="184" t="str">
        <f>IFERROR(IF(데이터입력!$AE$2="추경",VLOOKUP($A140,#REF!,13,FALSE),""),"")</f>
        <v/>
      </c>
    </row>
    <row r="141" spans="1:37">
      <c r="A141" s="180">
        <v>139</v>
      </c>
      <c r="B141" s="608" t="str">
        <f>IFERROR(IF(F141="06",데이터입력!$AB$8,IF(F141="07",데이터입력!$AD$8,IF(F141="05",데이터입력!$AF$8,데이터입력!$AB$8))),데이터입력!$AB$8)</f>
        <v>00</v>
      </c>
      <c r="C141" s="609" t="str">
        <f>데이터입력!$AC$9</f>
        <v>일반사업[일반]</v>
      </c>
      <c r="D141" s="610" t="str">
        <f>IFERROR(IF(AND(데이터입력!$AE$2="추경",데이터입력!$AM$2=TRUE),VLOOKUP($A141,데이터입력!$A:$H,4,FALSE),""),"")</f>
        <v/>
      </c>
      <c r="E141" s="610" t="str">
        <f>IFERROR(IF(AND(데이터입력!$AE$2="추경",데이터입력!$AM$2=TRUE),VLOOKUP($A141,데이터입력!$A:$H,2,FALSE),""),"")</f>
        <v/>
      </c>
      <c r="F141" s="610" t="str">
        <f>IFERROR(IF(AND(데이터입력!$AE$2="추경",데이터입력!$AM$2=TRUE),VLOOKUP($A141,데이터입력!$A:$H,5,FALSE),""),"")</f>
        <v/>
      </c>
      <c r="G141" s="610" t="str">
        <f>IFERROR(IF(AND(데이터입력!$AE$2="추경",데이터입력!$AM$2=TRUE),VLOOKUP($A141,데이터입력!$A:$H,6,FALSE),""),"")</f>
        <v/>
      </c>
      <c r="H141" s="611" t="str">
        <f>IFERROR(IF(AND(데이터입력!$AE$2="추경",데이터입력!$AM$2=TRUE),VLOOKUP($A141,데이터입력!$A:$L,7,FALSE),""),"")</f>
        <v/>
      </c>
      <c r="I141" s="611" t="str">
        <f>IFERROR(IF(AND(데이터입력!$AE$2="추경",데이터입력!$AM$2=TRUE),VLOOKUP($A141,데이터입력!$A:$L,8,FALSE)+VLOOKUP($A141,데이터입력!$A:$L,9,FALSE)+VLOOKUP($A141,데이터입력!$A:$L,10,FALSE),""),"")</f>
        <v/>
      </c>
      <c r="J141" s="612" t="s">
        <v>135</v>
      </c>
      <c r="K141" s="612" t="s">
        <v>135</v>
      </c>
      <c r="L141" s="612" t="s">
        <v>135</v>
      </c>
      <c r="M141" s="604"/>
      <c r="N141" s="180">
        <v>339</v>
      </c>
      <c r="O141" s="616" t="str">
        <f>IFERROR(IF(S141="06",데이터입력!$AB$8,IF(S141="07",데이터입력!$AD$8,IF(S141="05",데이터입력!$AF$8,데이터입력!$AB$8))),데이터입력!$AB$8)</f>
        <v>00</v>
      </c>
      <c r="P141" s="617" t="str">
        <f>데이터입력!$AC$9</f>
        <v>일반사업[일반]</v>
      </c>
      <c r="Q141" s="618" t="str">
        <f>IFERROR(IF(데이터입력!$AE$2="추경",VLOOKUP($N141,데이터입력!$A:$H,4,FALSE),""),"")</f>
        <v/>
      </c>
      <c r="R141" s="618" t="str">
        <f>IFERROR(IF(데이터입력!$AE$2="추경",VLOOKUP($N141,데이터입력!$A:$H,2,FALSE),""),"")</f>
        <v/>
      </c>
      <c r="S141" s="618" t="str">
        <f>IFERROR(IF(데이터입력!$AE$2="추경",VLOOKUP($N141,데이터입력!$A:$H,5,FALSE),""),"")</f>
        <v/>
      </c>
      <c r="T141" s="618" t="str">
        <f>IFERROR(IF(데이터입력!$AE$2="추경",VLOOKUP($N141,데이터입력!$A:$H,6,FALSE),""),"")</f>
        <v/>
      </c>
      <c r="U141" s="619" t="str">
        <f>IFERROR(IF(데이터입력!$AE$2="추경",VLOOKUP($N141,데이터입력!$A:$L,8,FALSE)+VLOOKUP($N141,데이터입력!$A:$L,9,FALSE)+VLOOKUP($N141,데이터입력!$A:$L,10,FALSE),""),"")</f>
        <v/>
      </c>
      <c r="V141" s="620" t="s">
        <v>135</v>
      </c>
      <c r="W141" s="620" t="s">
        <v>135</v>
      </c>
      <c r="X141" s="620" t="s">
        <v>135</v>
      </c>
      <c r="Y141" s="601"/>
      <c r="Z141" s="182" t="str">
        <f>데이터입력!$AB$8</f>
        <v>00</v>
      </c>
      <c r="AA141" s="185" t="str">
        <f>데이터입력!$AC$9</f>
        <v>일반사업[일반]</v>
      </c>
      <c r="AB141" s="183" t="str">
        <f>IFERROR(IF(데이터입력!$AE$2="추경",VLOOKUP($A141,#REF!,4,FALSE),""),"")</f>
        <v/>
      </c>
      <c r="AC141" s="183" t="str">
        <f>IFERROR(IF(데이터입력!$AE$2="추경",VLOOKUP($A141,#REF!,5,FALSE),""),"")</f>
        <v/>
      </c>
      <c r="AD141" s="183" t="str">
        <f>IFERROR(IF(데이터입력!$AE$2="추경",VLOOKUP($A141,#REF!,6,FALSE),""),"")</f>
        <v/>
      </c>
      <c r="AE141" s="183" t="str">
        <f>IFERROR(IF(데이터입력!$AE$2="추경",VLOOKUP($A141,#REF!,7,FALSE),""),"")</f>
        <v/>
      </c>
      <c r="AF141" s="183"/>
      <c r="AG141" s="184" t="str">
        <f>IFERROR(IF(데이터입력!$AE$2="추경",VLOOKUP($A141,#REF!,9,FALSE),""),"")</f>
        <v/>
      </c>
      <c r="AH141" s="184" t="str">
        <f>IFERROR(IF(데이터입력!$AE$2="추경",VLOOKUP($A141,#REF!,10,FALSE),""),"")</f>
        <v/>
      </c>
      <c r="AI141" s="184" t="str">
        <f>IFERROR(IF(데이터입력!$AE$2="추경",VLOOKUP($A141,#REF!,11,FALSE),""),"")</f>
        <v/>
      </c>
      <c r="AJ141" s="184" t="str">
        <f>IFERROR(IF(데이터입력!$AE$2="추경",VLOOKUP($A141,#REF!,12,FALSE),""),"")</f>
        <v/>
      </c>
      <c r="AK141" s="184" t="str">
        <f>IFERROR(IF(데이터입력!$AE$2="추경",VLOOKUP($A141,#REF!,13,FALSE),""),"")</f>
        <v/>
      </c>
    </row>
    <row r="142" spans="1:37">
      <c r="A142" s="180">
        <v>140</v>
      </c>
      <c r="B142" s="608" t="str">
        <f>IFERROR(IF(F142="06",데이터입력!$AB$8,IF(F142="07",데이터입력!$AD$8,IF(F142="05",데이터입력!$AF$8,데이터입력!$AB$8))),데이터입력!$AB$8)</f>
        <v>00</v>
      </c>
      <c r="C142" s="609" t="str">
        <f>데이터입력!$AC$9</f>
        <v>일반사업[일반]</v>
      </c>
      <c r="D142" s="610" t="str">
        <f>IFERROR(IF(AND(데이터입력!$AE$2="추경",데이터입력!$AM$2=TRUE),VLOOKUP($A142,데이터입력!$A:$H,4,FALSE),""),"")</f>
        <v/>
      </c>
      <c r="E142" s="610" t="str">
        <f>IFERROR(IF(AND(데이터입력!$AE$2="추경",데이터입력!$AM$2=TRUE),VLOOKUP($A142,데이터입력!$A:$H,2,FALSE),""),"")</f>
        <v/>
      </c>
      <c r="F142" s="610" t="str">
        <f>IFERROR(IF(AND(데이터입력!$AE$2="추경",데이터입력!$AM$2=TRUE),VLOOKUP($A142,데이터입력!$A:$H,5,FALSE),""),"")</f>
        <v/>
      </c>
      <c r="G142" s="610" t="str">
        <f>IFERROR(IF(AND(데이터입력!$AE$2="추경",데이터입력!$AM$2=TRUE),VLOOKUP($A142,데이터입력!$A:$H,6,FALSE),""),"")</f>
        <v/>
      </c>
      <c r="H142" s="611" t="str">
        <f>IFERROR(IF(AND(데이터입력!$AE$2="추경",데이터입력!$AM$2=TRUE),VLOOKUP($A142,데이터입력!$A:$L,7,FALSE),""),"")</f>
        <v/>
      </c>
      <c r="I142" s="611" t="str">
        <f>IFERROR(IF(AND(데이터입력!$AE$2="추경",데이터입력!$AM$2=TRUE),VLOOKUP($A142,데이터입력!$A:$L,8,FALSE)+VLOOKUP($A142,데이터입력!$A:$L,9,FALSE)+VLOOKUP($A142,데이터입력!$A:$L,10,FALSE),""),"")</f>
        <v/>
      </c>
      <c r="J142" s="612" t="s">
        <v>135</v>
      </c>
      <c r="K142" s="612" t="s">
        <v>135</v>
      </c>
      <c r="L142" s="612" t="s">
        <v>135</v>
      </c>
      <c r="M142" s="604"/>
      <c r="N142" s="180">
        <v>340</v>
      </c>
      <c r="O142" s="616" t="str">
        <f>IFERROR(IF(S142="06",데이터입력!$AB$8,IF(S142="07",데이터입력!$AD$8,IF(S142="05",데이터입력!$AF$8,데이터입력!$AB$8))),데이터입력!$AB$8)</f>
        <v>00</v>
      </c>
      <c r="P142" s="617" t="str">
        <f>데이터입력!$AC$9</f>
        <v>일반사업[일반]</v>
      </c>
      <c r="Q142" s="618" t="str">
        <f>IFERROR(IF(데이터입력!$AE$2="추경",VLOOKUP($N142,데이터입력!$A:$H,4,FALSE),""),"")</f>
        <v/>
      </c>
      <c r="R142" s="618" t="str">
        <f>IFERROR(IF(데이터입력!$AE$2="추경",VLOOKUP($N142,데이터입력!$A:$H,2,FALSE),""),"")</f>
        <v/>
      </c>
      <c r="S142" s="618" t="str">
        <f>IFERROR(IF(데이터입력!$AE$2="추경",VLOOKUP($N142,데이터입력!$A:$H,5,FALSE),""),"")</f>
        <v/>
      </c>
      <c r="T142" s="618" t="str">
        <f>IFERROR(IF(데이터입력!$AE$2="추경",VLOOKUP($N142,데이터입력!$A:$H,6,FALSE),""),"")</f>
        <v/>
      </c>
      <c r="U142" s="619" t="str">
        <f>IFERROR(IF(데이터입력!$AE$2="추경",VLOOKUP($N142,데이터입력!$A:$L,8,FALSE)+VLOOKUP($N142,데이터입력!$A:$L,9,FALSE)+VLOOKUP($N142,데이터입력!$A:$L,10,FALSE),""),"")</f>
        <v/>
      </c>
      <c r="V142" s="620" t="s">
        <v>135</v>
      </c>
      <c r="W142" s="620" t="s">
        <v>135</v>
      </c>
      <c r="X142" s="620" t="s">
        <v>135</v>
      </c>
      <c r="Y142" s="601"/>
      <c r="Z142" s="182" t="str">
        <f>데이터입력!$AB$8</f>
        <v>00</v>
      </c>
      <c r="AA142" s="185" t="str">
        <f>데이터입력!$AC$9</f>
        <v>일반사업[일반]</v>
      </c>
      <c r="AB142" s="183" t="str">
        <f>IFERROR(IF(데이터입력!$AE$2="추경",VLOOKUP($A142,#REF!,4,FALSE),""),"")</f>
        <v/>
      </c>
      <c r="AC142" s="183" t="str">
        <f>IFERROR(IF(데이터입력!$AE$2="추경",VLOOKUP($A142,#REF!,5,FALSE),""),"")</f>
        <v/>
      </c>
      <c r="AD142" s="183" t="str">
        <f>IFERROR(IF(데이터입력!$AE$2="추경",VLOOKUP($A142,#REF!,6,FALSE),""),"")</f>
        <v/>
      </c>
      <c r="AE142" s="183" t="str">
        <f>IFERROR(IF(데이터입력!$AE$2="추경",VLOOKUP($A142,#REF!,7,FALSE),""),"")</f>
        <v/>
      </c>
      <c r="AF142" s="183"/>
      <c r="AG142" s="184" t="str">
        <f>IFERROR(IF(데이터입력!$AE$2="추경",VLOOKUP($A142,#REF!,9,FALSE),""),"")</f>
        <v/>
      </c>
      <c r="AH142" s="184" t="str">
        <f>IFERROR(IF(데이터입력!$AE$2="추경",VLOOKUP($A142,#REF!,10,FALSE),""),"")</f>
        <v/>
      </c>
      <c r="AI142" s="184" t="str">
        <f>IFERROR(IF(데이터입력!$AE$2="추경",VLOOKUP($A142,#REF!,11,FALSE),""),"")</f>
        <v/>
      </c>
      <c r="AJ142" s="184" t="str">
        <f>IFERROR(IF(데이터입력!$AE$2="추경",VLOOKUP($A142,#REF!,12,FALSE),""),"")</f>
        <v/>
      </c>
      <c r="AK142" s="184" t="str">
        <f>IFERROR(IF(데이터입력!$AE$2="추경",VLOOKUP($A142,#REF!,13,FALSE),""),"")</f>
        <v/>
      </c>
    </row>
    <row r="143" spans="1:37">
      <c r="A143" s="180">
        <v>141</v>
      </c>
      <c r="B143" s="608" t="str">
        <f>IFERROR(IF(F143="06",데이터입력!$AB$8,IF(F143="07",데이터입력!$AD$8,IF(F143="05",데이터입력!$AF$8,데이터입력!$AB$8))),데이터입력!$AB$8)</f>
        <v>00</v>
      </c>
      <c r="C143" s="609" t="str">
        <f>데이터입력!$AC$9</f>
        <v>일반사업[일반]</v>
      </c>
      <c r="D143" s="610" t="str">
        <f>IFERROR(IF(AND(데이터입력!$AE$2="추경",데이터입력!$AM$2=TRUE),VLOOKUP($A143,데이터입력!$A:$H,4,FALSE),""),"")</f>
        <v/>
      </c>
      <c r="E143" s="610" t="str">
        <f>IFERROR(IF(AND(데이터입력!$AE$2="추경",데이터입력!$AM$2=TRUE),VLOOKUP($A143,데이터입력!$A:$H,2,FALSE),""),"")</f>
        <v/>
      </c>
      <c r="F143" s="610" t="str">
        <f>IFERROR(IF(AND(데이터입력!$AE$2="추경",데이터입력!$AM$2=TRUE),VLOOKUP($A143,데이터입력!$A:$H,5,FALSE),""),"")</f>
        <v/>
      </c>
      <c r="G143" s="610" t="str">
        <f>IFERROR(IF(AND(데이터입력!$AE$2="추경",데이터입력!$AM$2=TRUE),VLOOKUP($A143,데이터입력!$A:$H,6,FALSE),""),"")</f>
        <v/>
      </c>
      <c r="H143" s="611" t="str">
        <f>IFERROR(IF(AND(데이터입력!$AE$2="추경",데이터입력!$AM$2=TRUE),VLOOKUP($A143,데이터입력!$A:$L,7,FALSE),""),"")</f>
        <v/>
      </c>
      <c r="I143" s="611" t="str">
        <f>IFERROR(IF(AND(데이터입력!$AE$2="추경",데이터입력!$AM$2=TRUE),VLOOKUP($A143,데이터입력!$A:$L,8,FALSE)+VLOOKUP($A143,데이터입력!$A:$L,9,FALSE)+VLOOKUP($A143,데이터입력!$A:$L,10,FALSE),""),"")</f>
        <v/>
      </c>
      <c r="J143" s="612" t="s">
        <v>135</v>
      </c>
      <c r="K143" s="612" t="s">
        <v>135</v>
      </c>
      <c r="L143" s="612" t="s">
        <v>135</v>
      </c>
      <c r="M143" s="604"/>
      <c r="N143" s="180">
        <v>341</v>
      </c>
      <c r="O143" s="616" t="str">
        <f>IFERROR(IF(S143="06",데이터입력!$AB$8,IF(S143="07",데이터입력!$AD$8,IF(S143="05",데이터입력!$AF$8,데이터입력!$AB$8))),데이터입력!$AB$8)</f>
        <v>00</v>
      </c>
      <c r="P143" s="617" t="str">
        <f>데이터입력!$AC$9</f>
        <v>일반사업[일반]</v>
      </c>
      <c r="Q143" s="618" t="str">
        <f>IFERROR(IF(데이터입력!$AE$2="추경",VLOOKUP($N143,데이터입력!$A:$H,4,FALSE),""),"")</f>
        <v/>
      </c>
      <c r="R143" s="618" t="str">
        <f>IFERROR(IF(데이터입력!$AE$2="추경",VLOOKUP($N143,데이터입력!$A:$H,2,FALSE),""),"")</f>
        <v/>
      </c>
      <c r="S143" s="618" t="str">
        <f>IFERROR(IF(데이터입력!$AE$2="추경",VLOOKUP($N143,데이터입력!$A:$H,5,FALSE),""),"")</f>
        <v/>
      </c>
      <c r="T143" s="618" t="str">
        <f>IFERROR(IF(데이터입력!$AE$2="추경",VLOOKUP($N143,데이터입력!$A:$H,6,FALSE),""),"")</f>
        <v/>
      </c>
      <c r="U143" s="619" t="str">
        <f>IFERROR(IF(데이터입력!$AE$2="추경",VLOOKUP($N143,데이터입력!$A:$L,8,FALSE)+VLOOKUP($N143,데이터입력!$A:$L,9,FALSE)+VLOOKUP($N143,데이터입력!$A:$L,10,FALSE),""),"")</f>
        <v/>
      </c>
      <c r="V143" s="620" t="s">
        <v>135</v>
      </c>
      <c r="W143" s="620" t="s">
        <v>135</v>
      </c>
      <c r="X143" s="620" t="s">
        <v>135</v>
      </c>
      <c r="Y143" s="601"/>
      <c r="Z143" s="182" t="str">
        <f>데이터입력!$AB$8</f>
        <v>00</v>
      </c>
      <c r="AA143" s="185" t="str">
        <f>데이터입력!$AC$9</f>
        <v>일반사업[일반]</v>
      </c>
      <c r="AB143" s="183" t="str">
        <f>IFERROR(IF(데이터입력!$AE$2="추경",VLOOKUP($A143,#REF!,4,FALSE),""),"")</f>
        <v/>
      </c>
      <c r="AC143" s="183" t="str">
        <f>IFERROR(IF(데이터입력!$AE$2="추경",VLOOKUP($A143,#REF!,5,FALSE),""),"")</f>
        <v/>
      </c>
      <c r="AD143" s="183" t="str">
        <f>IFERROR(IF(데이터입력!$AE$2="추경",VLOOKUP($A143,#REF!,6,FALSE),""),"")</f>
        <v/>
      </c>
      <c r="AE143" s="183" t="str">
        <f>IFERROR(IF(데이터입력!$AE$2="추경",VLOOKUP($A143,#REF!,7,FALSE),""),"")</f>
        <v/>
      </c>
      <c r="AF143" s="183"/>
      <c r="AG143" s="184" t="str">
        <f>IFERROR(IF(데이터입력!$AE$2="추경",VLOOKUP($A143,#REF!,9,FALSE),""),"")</f>
        <v/>
      </c>
      <c r="AH143" s="184" t="str">
        <f>IFERROR(IF(데이터입력!$AE$2="추경",VLOOKUP($A143,#REF!,10,FALSE),""),"")</f>
        <v/>
      </c>
      <c r="AI143" s="184" t="str">
        <f>IFERROR(IF(데이터입력!$AE$2="추경",VLOOKUP($A143,#REF!,11,FALSE),""),"")</f>
        <v/>
      </c>
      <c r="AJ143" s="184" t="str">
        <f>IFERROR(IF(데이터입력!$AE$2="추경",VLOOKUP($A143,#REF!,12,FALSE),""),"")</f>
        <v/>
      </c>
      <c r="AK143" s="184" t="str">
        <f>IFERROR(IF(데이터입력!$AE$2="추경",VLOOKUP($A143,#REF!,13,FALSE),""),"")</f>
        <v/>
      </c>
    </row>
    <row r="144" spans="1:37">
      <c r="A144" s="180">
        <v>142</v>
      </c>
      <c r="B144" s="608" t="str">
        <f>IFERROR(IF(F144="06",데이터입력!$AB$8,IF(F144="07",데이터입력!$AD$8,IF(F144="05",데이터입력!$AF$8,데이터입력!$AB$8))),데이터입력!$AB$8)</f>
        <v>00</v>
      </c>
      <c r="C144" s="609" t="str">
        <f>데이터입력!$AC$9</f>
        <v>일반사업[일반]</v>
      </c>
      <c r="D144" s="610" t="str">
        <f>IFERROR(IF(AND(데이터입력!$AE$2="추경",데이터입력!$AM$2=TRUE),VLOOKUP($A144,데이터입력!$A:$H,4,FALSE),""),"")</f>
        <v/>
      </c>
      <c r="E144" s="610" t="str">
        <f>IFERROR(IF(AND(데이터입력!$AE$2="추경",데이터입력!$AM$2=TRUE),VLOOKUP($A144,데이터입력!$A:$H,2,FALSE),""),"")</f>
        <v/>
      </c>
      <c r="F144" s="610" t="str">
        <f>IFERROR(IF(AND(데이터입력!$AE$2="추경",데이터입력!$AM$2=TRUE),VLOOKUP($A144,데이터입력!$A:$H,5,FALSE),""),"")</f>
        <v/>
      </c>
      <c r="G144" s="610" t="str">
        <f>IFERROR(IF(AND(데이터입력!$AE$2="추경",데이터입력!$AM$2=TRUE),VLOOKUP($A144,데이터입력!$A:$H,6,FALSE),""),"")</f>
        <v/>
      </c>
      <c r="H144" s="611" t="str">
        <f>IFERROR(IF(AND(데이터입력!$AE$2="추경",데이터입력!$AM$2=TRUE),VLOOKUP($A144,데이터입력!$A:$L,7,FALSE),""),"")</f>
        <v/>
      </c>
      <c r="I144" s="611" t="str">
        <f>IFERROR(IF(AND(데이터입력!$AE$2="추경",데이터입력!$AM$2=TRUE),VLOOKUP($A144,데이터입력!$A:$L,8,FALSE)+VLOOKUP($A144,데이터입력!$A:$L,9,FALSE)+VLOOKUP($A144,데이터입력!$A:$L,10,FALSE),""),"")</f>
        <v/>
      </c>
      <c r="J144" s="612" t="s">
        <v>135</v>
      </c>
      <c r="K144" s="612" t="s">
        <v>135</v>
      </c>
      <c r="L144" s="612" t="s">
        <v>135</v>
      </c>
      <c r="M144" s="604"/>
      <c r="N144" s="180">
        <v>342</v>
      </c>
      <c r="O144" s="616" t="str">
        <f>IFERROR(IF(S144="06",데이터입력!$AB$8,IF(S144="07",데이터입력!$AD$8,IF(S144="05",데이터입력!$AF$8,데이터입력!$AB$8))),데이터입력!$AB$8)</f>
        <v>00</v>
      </c>
      <c r="P144" s="617" t="str">
        <f>데이터입력!$AC$9</f>
        <v>일반사업[일반]</v>
      </c>
      <c r="Q144" s="618" t="str">
        <f>IFERROR(IF(데이터입력!$AE$2="추경",VLOOKUP($N144,데이터입력!$A:$H,4,FALSE),""),"")</f>
        <v/>
      </c>
      <c r="R144" s="618" t="str">
        <f>IFERROR(IF(데이터입력!$AE$2="추경",VLOOKUP($N144,데이터입력!$A:$H,2,FALSE),""),"")</f>
        <v/>
      </c>
      <c r="S144" s="618" t="str">
        <f>IFERROR(IF(데이터입력!$AE$2="추경",VLOOKUP($N144,데이터입력!$A:$H,5,FALSE),""),"")</f>
        <v/>
      </c>
      <c r="T144" s="618" t="str">
        <f>IFERROR(IF(데이터입력!$AE$2="추경",VLOOKUP($N144,데이터입력!$A:$H,6,FALSE),""),"")</f>
        <v/>
      </c>
      <c r="U144" s="619" t="str">
        <f>IFERROR(IF(데이터입력!$AE$2="추경",VLOOKUP($N144,데이터입력!$A:$L,8,FALSE)+VLOOKUP($N144,데이터입력!$A:$L,9,FALSE)+VLOOKUP($N144,데이터입력!$A:$L,10,FALSE),""),"")</f>
        <v/>
      </c>
      <c r="V144" s="620" t="s">
        <v>135</v>
      </c>
      <c r="W144" s="620" t="s">
        <v>135</v>
      </c>
      <c r="X144" s="620" t="s">
        <v>135</v>
      </c>
      <c r="Y144" s="601"/>
      <c r="Z144" s="182" t="str">
        <f>데이터입력!$AB$8</f>
        <v>00</v>
      </c>
      <c r="AA144" s="185" t="str">
        <f>데이터입력!$AC$9</f>
        <v>일반사업[일반]</v>
      </c>
      <c r="AB144" s="183" t="str">
        <f>IFERROR(IF(데이터입력!$AE$2="추경",VLOOKUP($A144,#REF!,4,FALSE),""),"")</f>
        <v/>
      </c>
      <c r="AC144" s="183" t="str">
        <f>IFERROR(IF(데이터입력!$AE$2="추경",VLOOKUP($A144,#REF!,5,FALSE),""),"")</f>
        <v/>
      </c>
      <c r="AD144" s="183" t="str">
        <f>IFERROR(IF(데이터입력!$AE$2="추경",VLOOKUP($A144,#REF!,6,FALSE),""),"")</f>
        <v/>
      </c>
      <c r="AE144" s="183" t="str">
        <f>IFERROR(IF(데이터입력!$AE$2="추경",VLOOKUP($A144,#REF!,7,FALSE),""),"")</f>
        <v/>
      </c>
      <c r="AF144" s="183"/>
      <c r="AG144" s="184" t="str">
        <f>IFERROR(IF(데이터입력!$AE$2="추경",VLOOKUP($A144,#REF!,9,FALSE),""),"")</f>
        <v/>
      </c>
      <c r="AH144" s="184" t="str">
        <f>IFERROR(IF(데이터입력!$AE$2="추경",VLOOKUP($A144,#REF!,10,FALSE),""),"")</f>
        <v/>
      </c>
      <c r="AI144" s="184" t="str">
        <f>IFERROR(IF(데이터입력!$AE$2="추경",VLOOKUP($A144,#REF!,11,FALSE),""),"")</f>
        <v/>
      </c>
      <c r="AJ144" s="184" t="str">
        <f>IFERROR(IF(데이터입력!$AE$2="추경",VLOOKUP($A144,#REF!,12,FALSE),""),"")</f>
        <v/>
      </c>
      <c r="AK144" s="184" t="str">
        <f>IFERROR(IF(데이터입력!$AE$2="추경",VLOOKUP($A144,#REF!,13,FALSE),""),"")</f>
        <v/>
      </c>
    </row>
    <row r="145" spans="1:37">
      <c r="A145" s="180">
        <v>143</v>
      </c>
      <c r="B145" s="608" t="str">
        <f>IFERROR(IF(F145="06",데이터입력!$AB$8,IF(F145="07",데이터입력!$AD$8,IF(F145="05",데이터입력!$AF$8,데이터입력!$AB$8))),데이터입력!$AB$8)</f>
        <v>00</v>
      </c>
      <c r="C145" s="609" t="str">
        <f>데이터입력!$AC$9</f>
        <v>일반사업[일반]</v>
      </c>
      <c r="D145" s="610" t="str">
        <f>IFERROR(IF(AND(데이터입력!$AE$2="추경",데이터입력!$AM$2=TRUE),VLOOKUP($A145,데이터입력!$A:$H,4,FALSE),""),"")</f>
        <v/>
      </c>
      <c r="E145" s="610" t="str">
        <f>IFERROR(IF(AND(데이터입력!$AE$2="추경",데이터입력!$AM$2=TRUE),VLOOKUP($A145,데이터입력!$A:$H,2,FALSE),""),"")</f>
        <v/>
      </c>
      <c r="F145" s="610" t="str">
        <f>IFERROR(IF(AND(데이터입력!$AE$2="추경",데이터입력!$AM$2=TRUE),VLOOKUP($A145,데이터입력!$A:$H,5,FALSE),""),"")</f>
        <v/>
      </c>
      <c r="G145" s="610" t="str">
        <f>IFERROR(IF(AND(데이터입력!$AE$2="추경",데이터입력!$AM$2=TRUE),VLOOKUP($A145,데이터입력!$A:$H,6,FALSE),""),"")</f>
        <v/>
      </c>
      <c r="H145" s="611" t="str">
        <f>IFERROR(IF(AND(데이터입력!$AE$2="추경",데이터입력!$AM$2=TRUE),VLOOKUP($A145,데이터입력!$A:$L,7,FALSE),""),"")</f>
        <v/>
      </c>
      <c r="I145" s="611" t="str">
        <f>IFERROR(IF(AND(데이터입력!$AE$2="추경",데이터입력!$AM$2=TRUE),VLOOKUP($A145,데이터입력!$A:$L,8,FALSE)+VLOOKUP($A145,데이터입력!$A:$L,9,FALSE)+VLOOKUP($A145,데이터입력!$A:$L,10,FALSE),""),"")</f>
        <v/>
      </c>
      <c r="J145" s="612" t="s">
        <v>135</v>
      </c>
      <c r="K145" s="612" t="s">
        <v>135</v>
      </c>
      <c r="L145" s="612" t="s">
        <v>135</v>
      </c>
      <c r="M145" s="604"/>
      <c r="N145" s="180">
        <v>343</v>
      </c>
      <c r="O145" s="616" t="str">
        <f>IFERROR(IF(S145="06",데이터입력!$AB$8,IF(S145="07",데이터입력!$AD$8,IF(S145="05",데이터입력!$AF$8,데이터입력!$AB$8))),데이터입력!$AB$8)</f>
        <v>00</v>
      </c>
      <c r="P145" s="617" t="str">
        <f>데이터입력!$AC$9</f>
        <v>일반사업[일반]</v>
      </c>
      <c r="Q145" s="618" t="str">
        <f>IFERROR(IF(데이터입력!$AE$2="추경",VLOOKUP($N145,데이터입력!$A:$H,4,FALSE),""),"")</f>
        <v/>
      </c>
      <c r="R145" s="618" t="str">
        <f>IFERROR(IF(데이터입력!$AE$2="추경",VLOOKUP($N145,데이터입력!$A:$H,2,FALSE),""),"")</f>
        <v/>
      </c>
      <c r="S145" s="618" t="str">
        <f>IFERROR(IF(데이터입력!$AE$2="추경",VLOOKUP($N145,데이터입력!$A:$H,5,FALSE),""),"")</f>
        <v/>
      </c>
      <c r="T145" s="618" t="str">
        <f>IFERROR(IF(데이터입력!$AE$2="추경",VLOOKUP($N145,데이터입력!$A:$H,6,FALSE),""),"")</f>
        <v/>
      </c>
      <c r="U145" s="619" t="str">
        <f>IFERROR(IF(데이터입력!$AE$2="추경",VLOOKUP($N145,데이터입력!$A:$L,8,FALSE)+VLOOKUP($N145,데이터입력!$A:$L,9,FALSE)+VLOOKUP($N145,데이터입력!$A:$L,10,FALSE),""),"")</f>
        <v/>
      </c>
      <c r="V145" s="620" t="s">
        <v>135</v>
      </c>
      <c r="W145" s="620" t="s">
        <v>135</v>
      </c>
      <c r="X145" s="620" t="s">
        <v>135</v>
      </c>
      <c r="Y145" s="601"/>
      <c r="Z145" s="182" t="str">
        <f>데이터입력!$AB$8</f>
        <v>00</v>
      </c>
      <c r="AA145" s="185" t="str">
        <f>데이터입력!$AC$9</f>
        <v>일반사업[일반]</v>
      </c>
      <c r="AB145" s="183" t="str">
        <f>IFERROR(IF(데이터입력!$AE$2="추경",VLOOKUP($A145,#REF!,4,FALSE),""),"")</f>
        <v/>
      </c>
      <c r="AC145" s="183" t="str">
        <f>IFERROR(IF(데이터입력!$AE$2="추경",VLOOKUP($A145,#REF!,5,FALSE),""),"")</f>
        <v/>
      </c>
      <c r="AD145" s="183" t="str">
        <f>IFERROR(IF(데이터입력!$AE$2="추경",VLOOKUP($A145,#REF!,6,FALSE),""),"")</f>
        <v/>
      </c>
      <c r="AE145" s="183" t="str">
        <f>IFERROR(IF(데이터입력!$AE$2="추경",VLOOKUP($A145,#REF!,7,FALSE),""),"")</f>
        <v/>
      </c>
      <c r="AF145" s="183"/>
      <c r="AG145" s="184" t="str">
        <f>IFERROR(IF(데이터입력!$AE$2="추경",VLOOKUP($A145,#REF!,9,FALSE),""),"")</f>
        <v/>
      </c>
      <c r="AH145" s="184" t="str">
        <f>IFERROR(IF(데이터입력!$AE$2="추경",VLOOKUP($A145,#REF!,10,FALSE),""),"")</f>
        <v/>
      </c>
      <c r="AI145" s="184" t="str">
        <f>IFERROR(IF(데이터입력!$AE$2="추경",VLOOKUP($A145,#REF!,11,FALSE),""),"")</f>
        <v/>
      </c>
      <c r="AJ145" s="184" t="str">
        <f>IFERROR(IF(데이터입력!$AE$2="추경",VLOOKUP($A145,#REF!,12,FALSE),""),"")</f>
        <v/>
      </c>
      <c r="AK145" s="184" t="str">
        <f>IFERROR(IF(데이터입력!$AE$2="추경",VLOOKUP($A145,#REF!,13,FALSE),""),"")</f>
        <v/>
      </c>
    </row>
    <row r="146" spans="1:37">
      <c r="A146" s="180">
        <v>144</v>
      </c>
      <c r="B146" s="608" t="str">
        <f>IFERROR(IF(F146="06",데이터입력!$AB$8,IF(F146="07",데이터입력!$AD$8,IF(F146="05",데이터입력!$AF$8,데이터입력!$AB$8))),데이터입력!$AB$8)</f>
        <v>00</v>
      </c>
      <c r="C146" s="609" t="str">
        <f>데이터입력!$AC$9</f>
        <v>일반사업[일반]</v>
      </c>
      <c r="D146" s="610" t="str">
        <f>IFERROR(IF(AND(데이터입력!$AE$2="추경",데이터입력!$AM$2=TRUE),VLOOKUP($A146,데이터입력!$A:$H,4,FALSE),""),"")</f>
        <v/>
      </c>
      <c r="E146" s="610" t="str">
        <f>IFERROR(IF(AND(데이터입력!$AE$2="추경",데이터입력!$AM$2=TRUE),VLOOKUP($A146,데이터입력!$A:$H,2,FALSE),""),"")</f>
        <v/>
      </c>
      <c r="F146" s="610" t="str">
        <f>IFERROR(IF(AND(데이터입력!$AE$2="추경",데이터입력!$AM$2=TRUE),VLOOKUP($A146,데이터입력!$A:$H,5,FALSE),""),"")</f>
        <v/>
      </c>
      <c r="G146" s="610" t="str">
        <f>IFERROR(IF(AND(데이터입력!$AE$2="추경",데이터입력!$AM$2=TRUE),VLOOKUP($A146,데이터입력!$A:$H,6,FALSE),""),"")</f>
        <v/>
      </c>
      <c r="H146" s="611" t="str">
        <f>IFERROR(IF(AND(데이터입력!$AE$2="추경",데이터입력!$AM$2=TRUE),VLOOKUP($A146,데이터입력!$A:$L,7,FALSE),""),"")</f>
        <v/>
      </c>
      <c r="I146" s="611" t="str">
        <f>IFERROR(IF(AND(데이터입력!$AE$2="추경",데이터입력!$AM$2=TRUE),VLOOKUP($A146,데이터입력!$A:$L,8,FALSE)+VLOOKUP($A146,데이터입력!$A:$L,9,FALSE)+VLOOKUP($A146,데이터입력!$A:$L,10,FALSE),""),"")</f>
        <v/>
      </c>
      <c r="J146" s="612" t="s">
        <v>135</v>
      </c>
      <c r="K146" s="612" t="s">
        <v>135</v>
      </c>
      <c r="L146" s="612" t="s">
        <v>135</v>
      </c>
      <c r="M146" s="604"/>
      <c r="N146" s="180">
        <v>344</v>
      </c>
      <c r="O146" s="616" t="str">
        <f>IFERROR(IF(S146="06",데이터입력!$AB$8,IF(S146="07",데이터입력!$AD$8,IF(S146="05",데이터입력!$AF$8,데이터입력!$AB$8))),데이터입력!$AB$8)</f>
        <v>00</v>
      </c>
      <c r="P146" s="617" t="str">
        <f>데이터입력!$AC$9</f>
        <v>일반사업[일반]</v>
      </c>
      <c r="Q146" s="618" t="str">
        <f>IFERROR(IF(데이터입력!$AE$2="추경",VLOOKUP($N146,데이터입력!$A:$H,4,FALSE),""),"")</f>
        <v/>
      </c>
      <c r="R146" s="618" t="str">
        <f>IFERROR(IF(데이터입력!$AE$2="추경",VLOOKUP($N146,데이터입력!$A:$H,2,FALSE),""),"")</f>
        <v/>
      </c>
      <c r="S146" s="618" t="str">
        <f>IFERROR(IF(데이터입력!$AE$2="추경",VLOOKUP($N146,데이터입력!$A:$H,5,FALSE),""),"")</f>
        <v/>
      </c>
      <c r="T146" s="618" t="str">
        <f>IFERROR(IF(데이터입력!$AE$2="추경",VLOOKUP($N146,데이터입력!$A:$H,6,FALSE),""),"")</f>
        <v/>
      </c>
      <c r="U146" s="619" t="str">
        <f>IFERROR(IF(데이터입력!$AE$2="추경",VLOOKUP($N146,데이터입력!$A:$L,8,FALSE)+VLOOKUP($N146,데이터입력!$A:$L,9,FALSE)+VLOOKUP($N146,데이터입력!$A:$L,10,FALSE),""),"")</f>
        <v/>
      </c>
      <c r="V146" s="620" t="s">
        <v>135</v>
      </c>
      <c r="W146" s="620" t="s">
        <v>135</v>
      </c>
      <c r="X146" s="620" t="s">
        <v>135</v>
      </c>
      <c r="Y146" s="601"/>
      <c r="Z146" s="182" t="str">
        <f>데이터입력!$AB$8</f>
        <v>00</v>
      </c>
      <c r="AA146" s="185" t="str">
        <f>데이터입력!$AC$9</f>
        <v>일반사업[일반]</v>
      </c>
      <c r="AB146" s="183" t="str">
        <f>IFERROR(IF(데이터입력!$AE$2="추경",VLOOKUP($A146,#REF!,4,FALSE),""),"")</f>
        <v/>
      </c>
      <c r="AC146" s="183" t="str">
        <f>IFERROR(IF(데이터입력!$AE$2="추경",VLOOKUP($A146,#REF!,5,FALSE),""),"")</f>
        <v/>
      </c>
      <c r="AD146" s="183" t="str">
        <f>IFERROR(IF(데이터입력!$AE$2="추경",VLOOKUP($A146,#REF!,6,FALSE),""),"")</f>
        <v/>
      </c>
      <c r="AE146" s="183" t="str">
        <f>IFERROR(IF(데이터입력!$AE$2="추경",VLOOKUP($A146,#REF!,7,FALSE),""),"")</f>
        <v/>
      </c>
      <c r="AF146" s="183"/>
      <c r="AG146" s="184" t="str">
        <f>IFERROR(IF(데이터입력!$AE$2="추경",VLOOKUP($A146,#REF!,9,FALSE),""),"")</f>
        <v/>
      </c>
      <c r="AH146" s="184" t="str">
        <f>IFERROR(IF(데이터입력!$AE$2="추경",VLOOKUP($A146,#REF!,10,FALSE),""),"")</f>
        <v/>
      </c>
      <c r="AI146" s="184" t="str">
        <f>IFERROR(IF(데이터입력!$AE$2="추경",VLOOKUP($A146,#REF!,11,FALSE),""),"")</f>
        <v/>
      </c>
      <c r="AJ146" s="184" t="str">
        <f>IFERROR(IF(데이터입력!$AE$2="추경",VLOOKUP($A146,#REF!,12,FALSE),""),"")</f>
        <v/>
      </c>
      <c r="AK146" s="184" t="str">
        <f>IFERROR(IF(데이터입력!$AE$2="추경",VLOOKUP($A146,#REF!,13,FALSE),""),"")</f>
        <v/>
      </c>
    </row>
    <row r="147" spans="1:37">
      <c r="A147" s="180">
        <v>145</v>
      </c>
      <c r="B147" s="608" t="str">
        <f>IFERROR(IF(F147="06",데이터입력!$AB$8,IF(F147="07",데이터입력!$AD$8,IF(F147="05",데이터입력!$AF$8,데이터입력!$AB$8))),데이터입력!$AB$8)</f>
        <v>00</v>
      </c>
      <c r="C147" s="609" t="str">
        <f>데이터입력!$AC$9</f>
        <v>일반사업[일반]</v>
      </c>
      <c r="D147" s="610" t="str">
        <f>IFERROR(IF(AND(데이터입력!$AE$2="추경",데이터입력!$AM$2=TRUE),VLOOKUP($A147,데이터입력!$A:$H,4,FALSE),""),"")</f>
        <v/>
      </c>
      <c r="E147" s="610" t="str">
        <f>IFERROR(IF(AND(데이터입력!$AE$2="추경",데이터입력!$AM$2=TRUE),VLOOKUP($A147,데이터입력!$A:$H,2,FALSE),""),"")</f>
        <v/>
      </c>
      <c r="F147" s="610" t="str">
        <f>IFERROR(IF(AND(데이터입력!$AE$2="추경",데이터입력!$AM$2=TRUE),VLOOKUP($A147,데이터입력!$A:$H,5,FALSE),""),"")</f>
        <v/>
      </c>
      <c r="G147" s="610" t="str">
        <f>IFERROR(IF(AND(데이터입력!$AE$2="추경",데이터입력!$AM$2=TRUE),VLOOKUP($A147,데이터입력!$A:$H,6,FALSE),""),"")</f>
        <v/>
      </c>
      <c r="H147" s="611" t="str">
        <f>IFERROR(IF(AND(데이터입력!$AE$2="추경",데이터입력!$AM$2=TRUE),VLOOKUP($A147,데이터입력!$A:$L,7,FALSE),""),"")</f>
        <v/>
      </c>
      <c r="I147" s="611" t="str">
        <f>IFERROR(IF(AND(데이터입력!$AE$2="추경",데이터입력!$AM$2=TRUE),VLOOKUP($A147,데이터입력!$A:$L,8,FALSE)+VLOOKUP($A147,데이터입력!$A:$L,9,FALSE)+VLOOKUP($A147,데이터입력!$A:$L,10,FALSE),""),"")</f>
        <v/>
      </c>
      <c r="J147" s="612" t="s">
        <v>135</v>
      </c>
      <c r="K147" s="612" t="s">
        <v>135</v>
      </c>
      <c r="L147" s="612" t="s">
        <v>135</v>
      </c>
      <c r="M147" s="604"/>
      <c r="N147" s="180">
        <v>345</v>
      </c>
      <c r="O147" s="616" t="str">
        <f>IFERROR(IF(S147="06",데이터입력!$AB$8,IF(S147="07",데이터입력!$AD$8,IF(S147="05",데이터입력!$AF$8,데이터입력!$AB$8))),데이터입력!$AB$8)</f>
        <v>00</v>
      </c>
      <c r="P147" s="617" t="str">
        <f>데이터입력!$AC$9</f>
        <v>일반사업[일반]</v>
      </c>
      <c r="Q147" s="618" t="str">
        <f>IFERROR(IF(데이터입력!$AE$2="추경",VLOOKUP($N147,데이터입력!$A:$H,4,FALSE),""),"")</f>
        <v/>
      </c>
      <c r="R147" s="618" t="str">
        <f>IFERROR(IF(데이터입력!$AE$2="추경",VLOOKUP($N147,데이터입력!$A:$H,2,FALSE),""),"")</f>
        <v/>
      </c>
      <c r="S147" s="618" t="str">
        <f>IFERROR(IF(데이터입력!$AE$2="추경",VLOOKUP($N147,데이터입력!$A:$H,5,FALSE),""),"")</f>
        <v/>
      </c>
      <c r="T147" s="618" t="str">
        <f>IFERROR(IF(데이터입력!$AE$2="추경",VLOOKUP($N147,데이터입력!$A:$H,6,FALSE),""),"")</f>
        <v/>
      </c>
      <c r="U147" s="619" t="str">
        <f>IFERROR(IF(데이터입력!$AE$2="추경",VLOOKUP($N147,데이터입력!$A:$L,8,FALSE)+VLOOKUP($N147,데이터입력!$A:$L,9,FALSE)+VLOOKUP($N147,데이터입력!$A:$L,10,FALSE),""),"")</f>
        <v/>
      </c>
      <c r="V147" s="620" t="s">
        <v>135</v>
      </c>
      <c r="W147" s="620" t="s">
        <v>135</v>
      </c>
      <c r="X147" s="620" t="s">
        <v>135</v>
      </c>
      <c r="Y147" s="601"/>
      <c r="Z147" s="182" t="str">
        <f>데이터입력!$AB$8</f>
        <v>00</v>
      </c>
      <c r="AA147" s="185" t="str">
        <f>데이터입력!$AC$9</f>
        <v>일반사업[일반]</v>
      </c>
      <c r="AB147" s="183" t="str">
        <f>IFERROR(IF(데이터입력!$AE$2="추경",VLOOKUP($A147,#REF!,4,FALSE),""),"")</f>
        <v/>
      </c>
      <c r="AC147" s="183" t="str">
        <f>IFERROR(IF(데이터입력!$AE$2="추경",VLOOKUP($A147,#REF!,5,FALSE),""),"")</f>
        <v/>
      </c>
      <c r="AD147" s="183" t="str">
        <f>IFERROR(IF(데이터입력!$AE$2="추경",VLOOKUP($A147,#REF!,6,FALSE),""),"")</f>
        <v/>
      </c>
      <c r="AE147" s="183" t="str">
        <f>IFERROR(IF(데이터입력!$AE$2="추경",VLOOKUP($A147,#REF!,7,FALSE),""),"")</f>
        <v/>
      </c>
      <c r="AF147" s="183"/>
      <c r="AG147" s="184" t="str">
        <f>IFERROR(IF(데이터입력!$AE$2="추경",VLOOKUP($A147,#REF!,9,FALSE),""),"")</f>
        <v/>
      </c>
      <c r="AH147" s="184" t="str">
        <f>IFERROR(IF(데이터입력!$AE$2="추경",VLOOKUP($A147,#REF!,10,FALSE),""),"")</f>
        <v/>
      </c>
      <c r="AI147" s="184" t="str">
        <f>IFERROR(IF(데이터입력!$AE$2="추경",VLOOKUP($A147,#REF!,11,FALSE),""),"")</f>
        <v/>
      </c>
      <c r="AJ147" s="184" t="str">
        <f>IFERROR(IF(데이터입력!$AE$2="추경",VLOOKUP($A147,#REF!,12,FALSE),""),"")</f>
        <v/>
      </c>
      <c r="AK147" s="184" t="str">
        <f>IFERROR(IF(데이터입력!$AE$2="추경",VLOOKUP($A147,#REF!,13,FALSE),""),"")</f>
        <v/>
      </c>
    </row>
    <row r="148" spans="1:37">
      <c r="A148" s="180">
        <v>146</v>
      </c>
      <c r="B148" s="608" t="str">
        <f>IFERROR(IF(F148="06",데이터입력!$AB$8,IF(F148="07",데이터입력!$AD$8,IF(F148="05",데이터입력!$AF$8,데이터입력!$AB$8))),데이터입력!$AB$8)</f>
        <v>00</v>
      </c>
      <c r="C148" s="609" t="str">
        <f>데이터입력!$AC$9</f>
        <v>일반사업[일반]</v>
      </c>
      <c r="D148" s="610" t="str">
        <f>IFERROR(IF(AND(데이터입력!$AE$2="추경",데이터입력!$AM$2=TRUE),VLOOKUP($A148,데이터입력!$A:$H,4,FALSE),""),"")</f>
        <v/>
      </c>
      <c r="E148" s="610" t="str">
        <f>IFERROR(IF(AND(데이터입력!$AE$2="추경",데이터입력!$AM$2=TRUE),VLOOKUP($A148,데이터입력!$A:$H,2,FALSE),""),"")</f>
        <v/>
      </c>
      <c r="F148" s="610" t="str">
        <f>IFERROR(IF(AND(데이터입력!$AE$2="추경",데이터입력!$AM$2=TRUE),VLOOKUP($A148,데이터입력!$A:$H,5,FALSE),""),"")</f>
        <v/>
      </c>
      <c r="G148" s="610" t="str">
        <f>IFERROR(IF(AND(데이터입력!$AE$2="추경",데이터입력!$AM$2=TRUE),VLOOKUP($A148,데이터입력!$A:$H,6,FALSE),""),"")</f>
        <v/>
      </c>
      <c r="H148" s="611" t="str">
        <f>IFERROR(IF(AND(데이터입력!$AE$2="추경",데이터입력!$AM$2=TRUE),VLOOKUP($A148,데이터입력!$A:$L,7,FALSE),""),"")</f>
        <v/>
      </c>
      <c r="I148" s="611" t="str">
        <f>IFERROR(IF(AND(데이터입력!$AE$2="추경",데이터입력!$AM$2=TRUE),VLOOKUP($A148,데이터입력!$A:$L,8,FALSE)+VLOOKUP($A148,데이터입력!$A:$L,9,FALSE)+VLOOKUP($A148,데이터입력!$A:$L,10,FALSE),""),"")</f>
        <v/>
      </c>
      <c r="J148" s="612" t="s">
        <v>135</v>
      </c>
      <c r="K148" s="612" t="s">
        <v>135</v>
      </c>
      <c r="L148" s="612" t="s">
        <v>135</v>
      </c>
      <c r="M148" s="604"/>
      <c r="N148" s="180">
        <v>346</v>
      </c>
      <c r="O148" s="616" t="str">
        <f>IFERROR(IF(S148="06",데이터입력!$AB$8,IF(S148="07",데이터입력!$AD$8,IF(S148="05",데이터입력!$AF$8,데이터입력!$AB$8))),데이터입력!$AB$8)</f>
        <v>00</v>
      </c>
      <c r="P148" s="617" t="str">
        <f>데이터입력!$AC$9</f>
        <v>일반사업[일반]</v>
      </c>
      <c r="Q148" s="618" t="str">
        <f>IFERROR(IF(데이터입력!$AE$2="추경",VLOOKUP($N148,데이터입력!$A:$H,4,FALSE),""),"")</f>
        <v/>
      </c>
      <c r="R148" s="618" t="str">
        <f>IFERROR(IF(데이터입력!$AE$2="추경",VLOOKUP($N148,데이터입력!$A:$H,2,FALSE),""),"")</f>
        <v/>
      </c>
      <c r="S148" s="618" t="str">
        <f>IFERROR(IF(데이터입력!$AE$2="추경",VLOOKUP($N148,데이터입력!$A:$H,5,FALSE),""),"")</f>
        <v/>
      </c>
      <c r="T148" s="618" t="str">
        <f>IFERROR(IF(데이터입력!$AE$2="추경",VLOOKUP($N148,데이터입력!$A:$H,6,FALSE),""),"")</f>
        <v/>
      </c>
      <c r="U148" s="619" t="str">
        <f>IFERROR(IF(데이터입력!$AE$2="추경",VLOOKUP($N148,데이터입력!$A:$L,8,FALSE)+VLOOKUP($N148,데이터입력!$A:$L,9,FALSE)+VLOOKUP($N148,데이터입력!$A:$L,10,FALSE),""),"")</f>
        <v/>
      </c>
      <c r="V148" s="620" t="s">
        <v>135</v>
      </c>
      <c r="W148" s="620" t="s">
        <v>135</v>
      </c>
      <c r="X148" s="620" t="s">
        <v>135</v>
      </c>
      <c r="Y148" s="601"/>
      <c r="Z148" s="182" t="str">
        <f>데이터입력!$AB$8</f>
        <v>00</v>
      </c>
      <c r="AA148" s="185" t="str">
        <f>데이터입력!$AC$9</f>
        <v>일반사업[일반]</v>
      </c>
      <c r="AB148" s="183" t="str">
        <f>IFERROR(IF(데이터입력!$AE$2="추경",VLOOKUP($A148,#REF!,4,FALSE),""),"")</f>
        <v/>
      </c>
      <c r="AC148" s="183" t="str">
        <f>IFERROR(IF(데이터입력!$AE$2="추경",VLOOKUP($A148,#REF!,5,FALSE),""),"")</f>
        <v/>
      </c>
      <c r="AD148" s="183" t="str">
        <f>IFERROR(IF(데이터입력!$AE$2="추경",VLOOKUP($A148,#REF!,6,FALSE),""),"")</f>
        <v/>
      </c>
      <c r="AE148" s="183" t="str">
        <f>IFERROR(IF(데이터입력!$AE$2="추경",VLOOKUP($A148,#REF!,7,FALSE),""),"")</f>
        <v/>
      </c>
      <c r="AF148" s="183"/>
      <c r="AG148" s="184" t="str">
        <f>IFERROR(IF(데이터입력!$AE$2="추경",VLOOKUP($A148,#REF!,9,FALSE),""),"")</f>
        <v/>
      </c>
      <c r="AH148" s="184" t="str">
        <f>IFERROR(IF(데이터입력!$AE$2="추경",VLOOKUP($A148,#REF!,10,FALSE),""),"")</f>
        <v/>
      </c>
      <c r="AI148" s="184" t="str">
        <f>IFERROR(IF(데이터입력!$AE$2="추경",VLOOKUP($A148,#REF!,11,FALSE),""),"")</f>
        <v/>
      </c>
      <c r="AJ148" s="184" t="str">
        <f>IFERROR(IF(데이터입력!$AE$2="추경",VLOOKUP($A148,#REF!,12,FALSE),""),"")</f>
        <v/>
      </c>
      <c r="AK148" s="184" t="str">
        <f>IFERROR(IF(데이터입력!$AE$2="추경",VLOOKUP($A148,#REF!,13,FALSE),""),"")</f>
        <v/>
      </c>
    </row>
    <row r="149" spans="1:37">
      <c r="A149" s="180">
        <v>147</v>
      </c>
      <c r="B149" s="608" t="str">
        <f>IFERROR(IF(F149="06",데이터입력!$AB$8,IF(F149="07",데이터입력!$AD$8,IF(F149="05",데이터입력!$AF$8,데이터입력!$AB$8))),데이터입력!$AB$8)</f>
        <v>00</v>
      </c>
      <c r="C149" s="609" t="str">
        <f>데이터입력!$AC$9</f>
        <v>일반사업[일반]</v>
      </c>
      <c r="D149" s="610" t="str">
        <f>IFERROR(IF(AND(데이터입력!$AE$2="추경",데이터입력!$AM$2=TRUE),VLOOKUP($A149,데이터입력!$A:$H,4,FALSE),""),"")</f>
        <v/>
      </c>
      <c r="E149" s="610" t="str">
        <f>IFERROR(IF(AND(데이터입력!$AE$2="추경",데이터입력!$AM$2=TRUE),VLOOKUP($A149,데이터입력!$A:$H,2,FALSE),""),"")</f>
        <v/>
      </c>
      <c r="F149" s="610" t="str">
        <f>IFERROR(IF(AND(데이터입력!$AE$2="추경",데이터입력!$AM$2=TRUE),VLOOKUP($A149,데이터입력!$A:$H,5,FALSE),""),"")</f>
        <v/>
      </c>
      <c r="G149" s="610" t="str">
        <f>IFERROR(IF(AND(데이터입력!$AE$2="추경",데이터입력!$AM$2=TRUE),VLOOKUP($A149,데이터입력!$A:$H,6,FALSE),""),"")</f>
        <v/>
      </c>
      <c r="H149" s="611" t="str">
        <f>IFERROR(IF(AND(데이터입력!$AE$2="추경",데이터입력!$AM$2=TRUE),VLOOKUP($A149,데이터입력!$A:$L,7,FALSE),""),"")</f>
        <v/>
      </c>
      <c r="I149" s="611" t="str">
        <f>IFERROR(IF(AND(데이터입력!$AE$2="추경",데이터입력!$AM$2=TRUE),VLOOKUP($A149,데이터입력!$A:$L,8,FALSE)+VLOOKUP($A149,데이터입력!$A:$L,9,FALSE)+VLOOKUP($A149,데이터입력!$A:$L,10,FALSE),""),"")</f>
        <v/>
      </c>
      <c r="J149" s="612" t="s">
        <v>135</v>
      </c>
      <c r="K149" s="612" t="s">
        <v>135</v>
      </c>
      <c r="L149" s="612" t="s">
        <v>135</v>
      </c>
      <c r="M149" s="604"/>
      <c r="N149" s="180">
        <v>347</v>
      </c>
      <c r="O149" s="616" t="str">
        <f>IFERROR(IF(S149="06",데이터입력!$AB$8,IF(S149="07",데이터입력!$AD$8,IF(S149="05",데이터입력!$AF$8,데이터입력!$AB$8))),데이터입력!$AB$8)</f>
        <v>00</v>
      </c>
      <c r="P149" s="617" t="str">
        <f>데이터입력!$AC$9</f>
        <v>일반사업[일반]</v>
      </c>
      <c r="Q149" s="618" t="str">
        <f>IFERROR(IF(데이터입력!$AE$2="추경",VLOOKUP($N149,데이터입력!$A:$H,4,FALSE),""),"")</f>
        <v/>
      </c>
      <c r="R149" s="618" t="str">
        <f>IFERROR(IF(데이터입력!$AE$2="추경",VLOOKUP($N149,데이터입력!$A:$H,2,FALSE),""),"")</f>
        <v/>
      </c>
      <c r="S149" s="618" t="str">
        <f>IFERROR(IF(데이터입력!$AE$2="추경",VLOOKUP($N149,데이터입력!$A:$H,5,FALSE),""),"")</f>
        <v/>
      </c>
      <c r="T149" s="618" t="str">
        <f>IFERROR(IF(데이터입력!$AE$2="추경",VLOOKUP($N149,데이터입력!$A:$H,6,FALSE),""),"")</f>
        <v/>
      </c>
      <c r="U149" s="619" t="str">
        <f>IFERROR(IF(데이터입력!$AE$2="추경",VLOOKUP($N149,데이터입력!$A:$L,8,FALSE)+VLOOKUP($N149,데이터입력!$A:$L,9,FALSE)+VLOOKUP($N149,데이터입력!$A:$L,10,FALSE),""),"")</f>
        <v/>
      </c>
      <c r="V149" s="620" t="s">
        <v>135</v>
      </c>
      <c r="W149" s="620" t="s">
        <v>135</v>
      </c>
      <c r="X149" s="620" t="s">
        <v>135</v>
      </c>
      <c r="Y149" s="601"/>
      <c r="Z149" s="182" t="str">
        <f>데이터입력!$AB$8</f>
        <v>00</v>
      </c>
      <c r="AA149" s="185" t="str">
        <f>데이터입력!$AC$9</f>
        <v>일반사업[일반]</v>
      </c>
      <c r="AB149" s="183" t="str">
        <f>IFERROR(IF(데이터입력!$AE$2="추경",VLOOKUP($A149,#REF!,4,FALSE),""),"")</f>
        <v/>
      </c>
      <c r="AC149" s="183" t="str">
        <f>IFERROR(IF(데이터입력!$AE$2="추경",VLOOKUP($A149,#REF!,5,FALSE),""),"")</f>
        <v/>
      </c>
      <c r="AD149" s="183" t="str">
        <f>IFERROR(IF(데이터입력!$AE$2="추경",VLOOKUP($A149,#REF!,6,FALSE),""),"")</f>
        <v/>
      </c>
      <c r="AE149" s="183" t="str">
        <f>IFERROR(IF(데이터입력!$AE$2="추경",VLOOKUP($A149,#REF!,7,FALSE),""),"")</f>
        <v/>
      </c>
      <c r="AF149" s="183"/>
      <c r="AG149" s="184" t="str">
        <f>IFERROR(IF(데이터입력!$AE$2="추경",VLOOKUP($A149,#REF!,9,FALSE),""),"")</f>
        <v/>
      </c>
      <c r="AH149" s="184" t="str">
        <f>IFERROR(IF(데이터입력!$AE$2="추경",VLOOKUP($A149,#REF!,10,FALSE),""),"")</f>
        <v/>
      </c>
      <c r="AI149" s="184" t="str">
        <f>IFERROR(IF(데이터입력!$AE$2="추경",VLOOKUP($A149,#REF!,11,FALSE),""),"")</f>
        <v/>
      </c>
      <c r="AJ149" s="184" t="str">
        <f>IFERROR(IF(데이터입력!$AE$2="추경",VLOOKUP($A149,#REF!,12,FALSE),""),"")</f>
        <v/>
      </c>
      <c r="AK149" s="184" t="str">
        <f>IFERROR(IF(데이터입력!$AE$2="추경",VLOOKUP($A149,#REF!,13,FALSE),""),"")</f>
        <v/>
      </c>
    </row>
    <row r="150" spans="1:37">
      <c r="A150" s="180">
        <v>148</v>
      </c>
      <c r="B150" s="608" t="str">
        <f>IFERROR(IF(F150="06",데이터입력!$AB$8,IF(F150="07",데이터입력!$AD$8,IF(F150="05",데이터입력!$AF$8,데이터입력!$AB$8))),데이터입력!$AB$8)</f>
        <v>00</v>
      </c>
      <c r="C150" s="609" t="str">
        <f>데이터입력!$AC$9</f>
        <v>일반사업[일반]</v>
      </c>
      <c r="D150" s="610" t="str">
        <f>IFERROR(IF(AND(데이터입력!$AE$2="추경",데이터입력!$AM$2=TRUE),VLOOKUP($A150,데이터입력!$A:$H,4,FALSE),""),"")</f>
        <v/>
      </c>
      <c r="E150" s="610" t="str">
        <f>IFERROR(IF(AND(데이터입력!$AE$2="추경",데이터입력!$AM$2=TRUE),VLOOKUP($A150,데이터입력!$A:$H,2,FALSE),""),"")</f>
        <v/>
      </c>
      <c r="F150" s="610" t="str">
        <f>IFERROR(IF(AND(데이터입력!$AE$2="추경",데이터입력!$AM$2=TRUE),VLOOKUP($A150,데이터입력!$A:$H,5,FALSE),""),"")</f>
        <v/>
      </c>
      <c r="G150" s="610" t="str">
        <f>IFERROR(IF(AND(데이터입력!$AE$2="추경",데이터입력!$AM$2=TRUE),VLOOKUP($A150,데이터입력!$A:$H,6,FALSE),""),"")</f>
        <v/>
      </c>
      <c r="H150" s="611" t="str">
        <f>IFERROR(IF(AND(데이터입력!$AE$2="추경",데이터입력!$AM$2=TRUE),VLOOKUP($A150,데이터입력!$A:$L,7,FALSE),""),"")</f>
        <v/>
      </c>
      <c r="I150" s="611" t="str">
        <f>IFERROR(IF(AND(데이터입력!$AE$2="추경",데이터입력!$AM$2=TRUE),VLOOKUP($A150,데이터입력!$A:$L,8,FALSE)+VLOOKUP($A150,데이터입력!$A:$L,9,FALSE)+VLOOKUP($A150,데이터입력!$A:$L,10,FALSE),""),"")</f>
        <v/>
      </c>
      <c r="J150" s="612" t="s">
        <v>135</v>
      </c>
      <c r="K150" s="612" t="s">
        <v>135</v>
      </c>
      <c r="L150" s="612" t="s">
        <v>135</v>
      </c>
      <c r="M150" s="604"/>
      <c r="N150" s="180">
        <v>348</v>
      </c>
      <c r="O150" s="616" t="str">
        <f>IFERROR(IF(S150="06",데이터입력!$AB$8,IF(S150="07",데이터입력!$AD$8,IF(S150="05",데이터입력!$AF$8,데이터입력!$AB$8))),데이터입력!$AB$8)</f>
        <v>00</v>
      </c>
      <c r="P150" s="617" t="str">
        <f>데이터입력!$AC$9</f>
        <v>일반사업[일반]</v>
      </c>
      <c r="Q150" s="618" t="str">
        <f>IFERROR(IF(데이터입력!$AE$2="추경",VLOOKUP($N150,데이터입력!$A:$H,4,FALSE),""),"")</f>
        <v/>
      </c>
      <c r="R150" s="618" t="str">
        <f>IFERROR(IF(데이터입력!$AE$2="추경",VLOOKUP($N150,데이터입력!$A:$H,2,FALSE),""),"")</f>
        <v/>
      </c>
      <c r="S150" s="618" t="str">
        <f>IFERROR(IF(데이터입력!$AE$2="추경",VLOOKUP($N150,데이터입력!$A:$H,5,FALSE),""),"")</f>
        <v/>
      </c>
      <c r="T150" s="618" t="str">
        <f>IFERROR(IF(데이터입력!$AE$2="추경",VLOOKUP($N150,데이터입력!$A:$H,6,FALSE),""),"")</f>
        <v/>
      </c>
      <c r="U150" s="619" t="str">
        <f>IFERROR(IF(데이터입력!$AE$2="추경",VLOOKUP($N150,데이터입력!$A:$L,8,FALSE)+VLOOKUP($N150,데이터입력!$A:$L,9,FALSE)+VLOOKUP($N150,데이터입력!$A:$L,10,FALSE),""),"")</f>
        <v/>
      </c>
      <c r="V150" s="620" t="s">
        <v>135</v>
      </c>
      <c r="W150" s="620" t="s">
        <v>135</v>
      </c>
      <c r="X150" s="620" t="s">
        <v>135</v>
      </c>
      <c r="Y150" s="601"/>
      <c r="Z150" s="182" t="str">
        <f>데이터입력!$AB$8</f>
        <v>00</v>
      </c>
      <c r="AA150" s="185" t="str">
        <f>데이터입력!$AC$9</f>
        <v>일반사업[일반]</v>
      </c>
      <c r="AB150" s="183" t="str">
        <f>IFERROR(IF(데이터입력!$AE$2="추경",VLOOKUP($A150,#REF!,4,FALSE),""),"")</f>
        <v/>
      </c>
      <c r="AC150" s="183" t="str">
        <f>IFERROR(IF(데이터입력!$AE$2="추경",VLOOKUP($A150,#REF!,5,FALSE),""),"")</f>
        <v/>
      </c>
      <c r="AD150" s="183" t="str">
        <f>IFERROR(IF(데이터입력!$AE$2="추경",VLOOKUP($A150,#REF!,6,FALSE),""),"")</f>
        <v/>
      </c>
      <c r="AE150" s="183" t="str">
        <f>IFERROR(IF(데이터입력!$AE$2="추경",VLOOKUP($A150,#REF!,7,FALSE),""),"")</f>
        <v/>
      </c>
      <c r="AF150" s="183"/>
      <c r="AG150" s="184" t="str">
        <f>IFERROR(IF(데이터입력!$AE$2="추경",VLOOKUP($A150,#REF!,9,FALSE),""),"")</f>
        <v/>
      </c>
      <c r="AH150" s="184" t="str">
        <f>IFERROR(IF(데이터입력!$AE$2="추경",VLOOKUP($A150,#REF!,10,FALSE),""),"")</f>
        <v/>
      </c>
      <c r="AI150" s="184" t="str">
        <f>IFERROR(IF(데이터입력!$AE$2="추경",VLOOKUP($A150,#REF!,11,FALSE),""),"")</f>
        <v/>
      </c>
      <c r="AJ150" s="184" t="str">
        <f>IFERROR(IF(데이터입력!$AE$2="추경",VLOOKUP($A150,#REF!,12,FALSE),""),"")</f>
        <v/>
      </c>
      <c r="AK150" s="184" t="str">
        <f>IFERROR(IF(데이터입력!$AE$2="추경",VLOOKUP($A150,#REF!,13,FALSE),""),"")</f>
        <v/>
      </c>
    </row>
    <row r="151" spans="1:37">
      <c r="A151" s="180">
        <v>149</v>
      </c>
      <c r="B151" s="608" t="str">
        <f>IFERROR(IF(F151="06",데이터입력!$AB$8,IF(F151="07",데이터입력!$AD$8,IF(F151="05",데이터입력!$AF$8,데이터입력!$AB$8))),데이터입력!$AB$8)</f>
        <v>00</v>
      </c>
      <c r="C151" s="609" t="str">
        <f>데이터입력!$AC$9</f>
        <v>일반사업[일반]</v>
      </c>
      <c r="D151" s="610" t="str">
        <f>IFERROR(IF(AND(데이터입력!$AE$2="추경",데이터입력!$AM$2=TRUE),VLOOKUP($A151,데이터입력!$A:$H,4,FALSE),""),"")</f>
        <v/>
      </c>
      <c r="E151" s="610" t="str">
        <f>IFERROR(IF(AND(데이터입력!$AE$2="추경",데이터입력!$AM$2=TRUE),VLOOKUP($A151,데이터입력!$A:$H,2,FALSE),""),"")</f>
        <v/>
      </c>
      <c r="F151" s="610" t="str">
        <f>IFERROR(IF(AND(데이터입력!$AE$2="추경",데이터입력!$AM$2=TRUE),VLOOKUP($A151,데이터입력!$A:$H,5,FALSE),""),"")</f>
        <v/>
      </c>
      <c r="G151" s="610" t="str">
        <f>IFERROR(IF(AND(데이터입력!$AE$2="추경",데이터입력!$AM$2=TRUE),VLOOKUP($A151,데이터입력!$A:$H,6,FALSE),""),"")</f>
        <v/>
      </c>
      <c r="H151" s="611" t="str">
        <f>IFERROR(IF(AND(데이터입력!$AE$2="추경",데이터입력!$AM$2=TRUE),VLOOKUP($A151,데이터입력!$A:$L,7,FALSE),""),"")</f>
        <v/>
      </c>
      <c r="I151" s="611" t="str">
        <f>IFERROR(IF(AND(데이터입력!$AE$2="추경",데이터입력!$AM$2=TRUE),VLOOKUP($A151,데이터입력!$A:$L,8,FALSE)+VLOOKUP($A151,데이터입력!$A:$L,9,FALSE)+VLOOKUP($A151,데이터입력!$A:$L,10,FALSE),""),"")</f>
        <v/>
      </c>
      <c r="J151" s="612" t="s">
        <v>135</v>
      </c>
      <c r="K151" s="612" t="s">
        <v>135</v>
      </c>
      <c r="L151" s="612" t="s">
        <v>135</v>
      </c>
      <c r="M151" s="604"/>
      <c r="N151" s="180">
        <v>349</v>
      </c>
      <c r="O151" s="616" t="str">
        <f>IFERROR(IF(S151="06",데이터입력!$AB$8,IF(S151="07",데이터입력!$AD$8,IF(S151="05",데이터입력!$AF$8,데이터입력!$AB$8))),데이터입력!$AB$8)</f>
        <v>00</v>
      </c>
      <c r="P151" s="617" t="str">
        <f>데이터입력!$AC$9</f>
        <v>일반사업[일반]</v>
      </c>
      <c r="Q151" s="618" t="str">
        <f>IFERROR(IF(데이터입력!$AE$2="추경",VLOOKUP($N151,데이터입력!$A:$H,4,FALSE),""),"")</f>
        <v/>
      </c>
      <c r="R151" s="618" t="str">
        <f>IFERROR(IF(데이터입력!$AE$2="추경",VLOOKUP($N151,데이터입력!$A:$H,2,FALSE),""),"")</f>
        <v/>
      </c>
      <c r="S151" s="618" t="str">
        <f>IFERROR(IF(데이터입력!$AE$2="추경",VLOOKUP($N151,데이터입력!$A:$H,5,FALSE),""),"")</f>
        <v/>
      </c>
      <c r="T151" s="618" t="str">
        <f>IFERROR(IF(데이터입력!$AE$2="추경",VLOOKUP($N151,데이터입력!$A:$H,6,FALSE),""),"")</f>
        <v/>
      </c>
      <c r="U151" s="619" t="str">
        <f>IFERROR(IF(데이터입력!$AE$2="추경",VLOOKUP($N151,데이터입력!$A:$L,8,FALSE)+VLOOKUP($N151,데이터입력!$A:$L,9,FALSE)+VLOOKUP($N151,데이터입력!$A:$L,10,FALSE),""),"")</f>
        <v/>
      </c>
      <c r="V151" s="620" t="s">
        <v>135</v>
      </c>
      <c r="W151" s="620" t="s">
        <v>135</v>
      </c>
      <c r="X151" s="620" t="s">
        <v>135</v>
      </c>
      <c r="Y151" s="601"/>
      <c r="Z151" s="182" t="str">
        <f>데이터입력!$AB$8</f>
        <v>00</v>
      </c>
      <c r="AA151" s="185" t="str">
        <f>데이터입력!$AC$9</f>
        <v>일반사업[일반]</v>
      </c>
      <c r="AB151" s="183" t="str">
        <f>IFERROR(IF(데이터입력!$AE$2="추경",VLOOKUP($A151,#REF!,4,FALSE),""),"")</f>
        <v/>
      </c>
      <c r="AC151" s="183" t="str">
        <f>IFERROR(IF(데이터입력!$AE$2="추경",VLOOKUP($A151,#REF!,5,FALSE),""),"")</f>
        <v/>
      </c>
      <c r="AD151" s="183" t="str">
        <f>IFERROR(IF(데이터입력!$AE$2="추경",VLOOKUP($A151,#REF!,6,FALSE),""),"")</f>
        <v/>
      </c>
      <c r="AE151" s="183" t="str">
        <f>IFERROR(IF(데이터입력!$AE$2="추경",VLOOKUP($A151,#REF!,7,FALSE),""),"")</f>
        <v/>
      </c>
      <c r="AF151" s="183"/>
      <c r="AG151" s="184" t="str">
        <f>IFERROR(IF(데이터입력!$AE$2="추경",VLOOKUP($A151,#REF!,9,FALSE),""),"")</f>
        <v/>
      </c>
      <c r="AH151" s="184" t="str">
        <f>IFERROR(IF(데이터입력!$AE$2="추경",VLOOKUP($A151,#REF!,10,FALSE),""),"")</f>
        <v/>
      </c>
      <c r="AI151" s="184" t="str">
        <f>IFERROR(IF(데이터입력!$AE$2="추경",VLOOKUP($A151,#REF!,11,FALSE),""),"")</f>
        <v/>
      </c>
      <c r="AJ151" s="184" t="str">
        <f>IFERROR(IF(데이터입력!$AE$2="추경",VLOOKUP($A151,#REF!,12,FALSE),""),"")</f>
        <v/>
      </c>
      <c r="AK151" s="184" t="str">
        <f>IFERROR(IF(데이터입력!$AE$2="추경",VLOOKUP($A151,#REF!,13,FALSE),""),"")</f>
        <v/>
      </c>
    </row>
    <row r="152" spans="1:37">
      <c r="A152" s="180">
        <v>150</v>
      </c>
      <c r="B152" s="608" t="str">
        <f>IFERROR(IF(F152="06",데이터입력!$AB$8,IF(F152="07",데이터입력!$AD$8,IF(F152="05",데이터입력!$AF$8,데이터입력!$AB$8))),데이터입력!$AB$8)</f>
        <v>00</v>
      </c>
      <c r="C152" s="609" t="str">
        <f>데이터입력!$AC$9</f>
        <v>일반사업[일반]</v>
      </c>
      <c r="D152" s="610" t="str">
        <f>IFERROR(IF(AND(데이터입력!$AE$2="추경",데이터입력!$AM$2=TRUE),VLOOKUP($A152,데이터입력!$A:$H,4,FALSE),""),"")</f>
        <v/>
      </c>
      <c r="E152" s="610" t="str">
        <f>IFERROR(IF(AND(데이터입력!$AE$2="추경",데이터입력!$AM$2=TRUE),VLOOKUP($A152,데이터입력!$A:$H,2,FALSE),""),"")</f>
        <v/>
      </c>
      <c r="F152" s="610" t="str">
        <f>IFERROR(IF(AND(데이터입력!$AE$2="추경",데이터입력!$AM$2=TRUE),VLOOKUP($A152,데이터입력!$A:$H,5,FALSE),""),"")</f>
        <v/>
      </c>
      <c r="G152" s="610" t="str">
        <f>IFERROR(IF(AND(데이터입력!$AE$2="추경",데이터입력!$AM$2=TRUE),VLOOKUP($A152,데이터입력!$A:$H,6,FALSE),""),"")</f>
        <v/>
      </c>
      <c r="H152" s="611" t="str">
        <f>IFERROR(IF(AND(데이터입력!$AE$2="추경",데이터입력!$AM$2=TRUE),VLOOKUP($A152,데이터입력!$A:$L,7,FALSE),""),"")</f>
        <v/>
      </c>
      <c r="I152" s="611" t="str">
        <f>IFERROR(IF(AND(데이터입력!$AE$2="추경",데이터입력!$AM$2=TRUE),VLOOKUP($A152,데이터입력!$A:$L,8,FALSE)+VLOOKUP($A152,데이터입력!$A:$L,9,FALSE)+VLOOKUP($A152,데이터입력!$A:$L,10,FALSE),""),"")</f>
        <v/>
      </c>
      <c r="J152" s="612" t="s">
        <v>135</v>
      </c>
      <c r="K152" s="612" t="s">
        <v>135</v>
      </c>
      <c r="L152" s="612" t="s">
        <v>135</v>
      </c>
      <c r="M152" s="604"/>
      <c r="N152" s="180">
        <v>350</v>
      </c>
      <c r="O152" s="616" t="str">
        <f>IFERROR(IF(S152="06",데이터입력!$AB$8,IF(S152="07",데이터입력!$AD$8,IF(S152="05",데이터입력!$AF$8,데이터입력!$AB$8))),데이터입력!$AB$8)</f>
        <v>00</v>
      </c>
      <c r="P152" s="617" t="str">
        <f>데이터입력!$AC$9</f>
        <v>일반사업[일반]</v>
      </c>
      <c r="Q152" s="618" t="str">
        <f>IFERROR(IF(데이터입력!$AE$2="추경",VLOOKUP($N152,데이터입력!$A:$H,4,FALSE),""),"")</f>
        <v/>
      </c>
      <c r="R152" s="618" t="str">
        <f>IFERROR(IF(데이터입력!$AE$2="추경",VLOOKUP($N152,데이터입력!$A:$H,2,FALSE),""),"")</f>
        <v/>
      </c>
      <c r="S152" s="618" t="str">
        <f>IFERROR(IF(데이터입력!$AE$2="추경",VLOOKUP($N152,데이터입력!$A:$H,5,FALSE),""),"")</f>
        <v/>
      </c>
      <c r="T152" s="618" t="str">
        <f>IFERROR(IF(데이터입력!$AE$2="추경",VLOOKUP($N152,데이터입력!$A:$H,6,FALSE),""),"")</f>
        <v/>
      </c>
      <c r="U152" s="619" t="str">
        <f>IFERROR(IF(데이터입력!$AE$2="추경",VLOOKUP($N152,데이터입력!$A:$L,8,FALSE)+VLOOKUP($N152,데이터입력!$A:$L,9,FALSE)+VLOOKUP($N152,데이터입력!$A:$L,10,FALSE),""),"")</f>
        <v/>
      </c>
      <c r="V152" s="620" t="s">
        <v>135</v>
      </c>
      <c r="W152" s="620" t="s">
        <v>135</v>
      </c>
      <c r="X152" s="620" t="s">
        <v>135</v>
      </c>
      <c r="Y152" s="601"/>
      <c r="Z152" s="182" t="str">
        <f>데이터입력!$AB$8</f>
        <v>00</v>
      </c>
      <c r="AA152" s="185" t="str">
        <f>데이터입력!$AC$9</f>
        <v>일반사업[일반]</v>
      </c>
      <c r="AB152" s="183" t="str">
        <f>IFERROR(IF(데이터입력!$AE$2="추경",VLOOKUP($A152,#REF!,4,FALSE),""),"")</f>
        <v/>
      </c>
      <c r="AC152" s="183" t="str">
        <f>IFERROR(IF(데이터입력!$AE$2="추경",VLOOKUP($A152,#REF!,5,FALSE),""),"")</f>
        <v/>
      </c>
      <c r="AD152" s="183" t="str">
        <f>IFERROR(IF(데이터입력!$AE$2="추경",VLOOKUP($A152,#REF!,6,FALSE),""),"")</f>
        <v/>
      </c>
      <c r="AE152" s="183" t="str">
        <f>IFERROR(IF(데이터입력!$AE$2="추경",VLOOKUP($A152,#REF!,7,FALSE),""),"")</f>
        <v/>
      </c>
      <c r="AF152" s="183"/>
      <c r="AG152" s="184" t="str">
        <f>IFERROR(IF(데이터입력!$AE$2="추경",VLOOKUP($A152,#REF!,9,FALSE),""),"")</f>
        <v/>
      </c>
      <c r="AH152" s="184" t="str">
        <f>IFERROR(IF(데이터입력!$AE$2="추경",VLOOKUP($A152,#REF!,10,FALSE),""),"")</f>
        <v/>
      </c>
      <c r="AI152" s="184" t="str">
        <f>IFERROR(IF(데이터입력!$AE$2="추경",VLOOKUP($A152,#REF!,11,FALSE),""),"")</f>
        <v/>
      </c>
      <c r="AJ152" s="184" t="str">
        <f>IFERROR(IF(데이터입력!$AE$2="추경",VLOOKUP($A152,#REF!,12,FALSE),""),"")</f>
        <v/>
      </c>
      <c r="AK152" s="184" t="str">
        <f>IFERROR(IF(데이터입력!$AE$2="추경",VLOOKUP($A152,#REF!,13,FALSE),""),"")</f>
        <v/>
      </c>
    </row>
    <row r="153" spans="1:37">
      <c r="A153" s="180">
        <v>151</v>
      </c>
      <c r="B153" s="608" t="str">
        <f>IFERROR(IF(F153="06",데이터입력!$AB$8,IF(F153="07",데이터입력!$AD$8,IF(F153="05",데이터입력!$AF$8,데이터입력!$AB$8))),데이터입력!$AB$8)</f>
        <v>00</v>
      </c>
      <c r="C153" s="609" t="str">
        <f>데이터입력!$AC$9</f>
        <v>일반사업[일반]</v>
      </c>
      <c r="D153" s="610" t="str">
        <f>IFERROR(IF(AND(데이터입력!$AE$2="추경",데이터입력!$AM$2=TRUE),VLOOKUP($A153,데이터입력!$A:$H,4,FALSE),""),"")</f>
        <v/>
      </c>
      <c r="E153" s="610" t="str">
        <f>IFERROR(IF(AND(데이터입력!$AE$2="추경",데이터입력!$AM$2=TRUE),VLOOKUP($A153,데이터입력!$A:$H,2,FALSE),""),"")</f>
        <v/>
      </c>
      <c r="F153" s="610" t="str">
        <f>IFERROR(IF(AND(데이터입력!$AE$2="추경",데이터입력!$AM$2=TRUE),VLOOKUP($A153,데이터입력!$A:$H,5,FALSE),""),"")</f>
        <v/>
      </c>
      <c r="G153" s="610" t="str">
        <f>IFERROR(IF(AND(데이터입력!$AE$2="추경",데이터입력!$AM$2=TRUE),VLOOKUP($A153,데이터입력!$A:$H,6,FALSE),""),"")</f>
        <v/>
      </c>
      <c r="H153" s="611" t="str">
        <f>IFERROR(IF(AND(데이터입력!$AE$2="추경",데이터입력!$AM$2=TRUE),VLOOKUP($A153,데이터입력!$A:$L,7,FALSE),""),"")</f>
        <v/>
      </c>
      <c r="I153" s="611" t="str">
        <f>IFERROR(IF(AND(데이터입력!$AE$2="추경",데이터입력!$AM$2=TRUE),VLOOKUP($A153,데이터입력!$A:$L,8,FALSE)+VLOOKUP($A153,데이터입력!$A:$L,9,FALSE)+VLOOKUP($A153,데이터입력!$A:$L,10,FALSE),""),"")</f>
        <v/>
      </c>
      <c r="J153" s="612" t="s">
        <v>135</v>
      </c>
      <c r="K153" s="612" t="s">
        <v>135</v>
      </c>
      <c r="L153" s="612" t="s">
        <v>135</v>
      </c>
      <c r="M153" s="604"/>
      <c r="N153" s="180">
        <v>351</v>
      </c>
      <c r="O153" s="616" t="str">
        <f>IFERROR(IF(S153="06",데이터입력!$AB$8,IF(S153="07",데이터입력!$AD$8,IF(S153="05",데이터입력!$AF$8,데이터입력!$AB$8))),데이터입력!$AB$8)</f>
        <v>00</v>
      </c>
      <c r="P153" s="617" t="str">
        <f>데이터입력!$AC$9</f>
        <v>일반사업[일반]</v>
      </c>
      <c r="Q153" s="618" t="str">
        <f>IFERROR(IF(데이터입력!$AE$2="추경",VLOOKUP($N153,데이터입력!$A:$H,4,FALSE),""),"")</f>
        <v/>
      </c>
      <c r="R153" s="618" t="str">
        <f>IFERROR(IF(데이터입력!$AE$2="추경",VLOOKUP($N153,데이터입력!$A:$H,2,FALSE),""),"")</f>
        <v/>
      </c>
      <c r="S153" s="618" t="str">
        <f>IFERROR(IF(데이터입력!$AE$2="추경",VLOOKUP($N153,데이터입력!$A:$H,5,FALSE),""),"")</f>
        <v/>
      </c>
      <c r="T153" s="618" t="str">
        <f>IFERROR(IF(데이터입력!$AE$2="추경",VLOOKUP($N153,데이터입력!$A:$H,6,FALSE),""),"")</f>
        <v/>
      </c>
      <c r="U153" s="619" t="str">
        <f>IFERROR(IF(데이터입력!$AE$2="추경",VLOOKUP($N153,데이터입력!$A:$L,8,FALSE)+VLOOKUP($N153,데이터입력!$A:$L,9,FALSE)+VLOOKUP($N153,데이터입력!$A:$L,10,FALSE),""),"")</f>
        <v/>
      </c>
      <c r="V153" s="620" t="s">
        <v>135</v>
      </c>
      <c r="W153" s="620" t="s">
        <v>135</v>
      </c>
      <c r="X153" s="620" t="s">
        <v>135</v>
      </c>
      <c r="Y153" s="601"/>
      <c r="Z153" s="182" t="str">
        <f>데이터입력!$AB$8</f>
        <v>00</v>
      </c>
      <c r="AA153" s="185" t="str">
        <f>데이터입력!$AC$9</f>
        <v>일반사업[일반]</v>
      </c>
      <c r="AB153" s="183" t="str">
        <f>IFERROR(IF(데이터입력!$AE$2="추경",VLOOKUP($A153,#REF!,4,FALSE),""),"")</f>
        <v/>
      </c>
      <c r="AC153" s="183" t="str">
        <f>IFERROR(IF(데이터입력!$AE$2="추경",VLOOKUP($A153,#REF!,5,FALSE),""),"")</f>
        <v/>
      </c>
      <c r="AD153" s="183" t="str">
        <f>IFERROR(IF(데이터입력!$AE$2="추경",VLOOKUP($A153,#REF!,6,FALSE),""),"")</f>
        <v/>
      </c>
      <c r="AE153" s="183" t="str">
        <f>IFERROR(IF(데이터입력!$AE$2="추경",VLOOKUP($A153,#REF!,7,FALSE),""),"")</f>
        <v/>
      </c>
      <c r="AF153" s="183"/>
      <c r="AG153" s="184" t="str">
        <f>IFERROR(IF(데이터입력!$AE$2="추경",VLOOKUP($A153,#REF!,9,FALSE),""),"")</f>
        <v/>
      </c>
      <c r="AH153" s="184" t="str">
        <f>IFERROR(IF(데이터입력!$AE$2="추경",VLOOKUP($A153,#REF!,10,FALSE),""),"")</f>
        <v/>
      </c>
      <c r="AI153" s="184" t="str">
        <f>IFERROR(IF(데이터입력!$AE$2="추경",VLOOKUP($A153,#REF!,11,FALSE),""),"")</f>
        <v/>
      </c>
      <c r="AJ153" s="184" t="str">
        <f>IFERROR(IF(데이터입력!$AE$2="추경",VLOOKUP($A153,#REF!,12,FALSE),""),"")</f>
        <v/>
      </c>
      <c r="AK153" s="184" t="str">
        <f>IFERROR(IF(데이터입력!$AE$2="추경",VLOOKUP($A153,#REF!,13,FALSE),""),"")</f>
        <v/>
      </c>
    </row>
    <row r="154" spans="1:37">
      <c r="A154" s="180">
        <v>152</v>
      </c>
      <c r="B154" s="608" t="str">
        <f>IFERROR(IF(F154="06",데이터입력!$AB$8,IF(F154="07",데이터입력!$AD$8,IF(F154="05",데이터입력!$AF$8,데이터입력!$AB$8))),데이터입력!$AB$8)</f>
        <v>00</v>
      </c>
      <c r="C154" s="609" t="str">
        <f>데이터입력!$AC$9</f>
        <v>일반사업[일반]</v>
      </c>
      <c r="D154" s="610" t="str">
        <f>IFERROR(IF(AND(데이터입력!$AE$2="추경",데이터입력!$AM$2=TRUE),VLOOKUP($A154,데이터입력!$A:$H,4,FALSE),""),"")</f>
        <v/>
      </c>
      <c r="E154" s="610" t="str">
        <f>IFERROR(IF(AND(데이터입력!$AE$2="추경",데이터입력!$AM$2=TRUE),VLOOKUP($A154,데이터입력!$A:$H,2,FALSE),""),"")</f>
        <v/>
      </c>
      <c r="F154" s="610" t="str">
        <f>IFERROR(IF(AND(데이터입력!$AE$2="추경",데이터입력!$AM$2=TRUE),VLOOKUP($A154,데이터입력!$A:$H,5,FALSE),""),"")</f>
        <v/>
      </c>
      <c r="G154" s="610" t="str">
        <f>IFERROR(IF(AND(데이터입력!$AE$2="추경",데이터입력!$AM$2=TRUE),VLOOKUP($A154,데이터입력!$A:$H,6,FALSE),""),"")</f>
        <v/>
      </c>
      <c r="H154" s="611" t="str">
        <f>IFERROR(IF(AND(데이터입력!$AE$2="추경",데이터입력!$AM$2=TRUE),VLOOKUP($A154,데이터입력!$A:$L,7,FALSE),""),"")</f>
        <v/>
      </c>
      <c r="I154" s="611" t="str">
        <f>IFERROR(IF(AND(데이터입력!$AE$2="추경",데이터입력!$AM$2=TRUE),VLOOKUP($A154,데이터입력!$A:$L,8,FALSE)+VLOOKUP($A154,데이터입력!$A:$L,9,FALSE)+VLOOKUP($A154,데이터입력!$A:$L,10,FALSE),""),"")</f>
        <v/>
      </c>
      <c r="J154" s="612" t="s">
        <v>135</v>
      </c>
      <c r="K154" s="612" t="s">
        <v>135</v>
      </c>
      <c r="L154" s="612" t="s">
        <v>135</v>
      </c>
      <c r="M154" s="604"/>
      <c r="N154" s="180">
        <v>352</v>
      </c>
      <c r="O154" s="616" t="str">
        <f>IFERROR(IF(S154="06",데이터입력!$AB$8,IF(S154="07",데이터입력!$AD$8,IF(S154="05",데이터입력!$AF$8,데이터입력!$AB$8))),데이터입력!$AB$8)</f>
        <v>00</v>
      </c>
      <c r="P154" s="617" t="str">
        <f>데이터입력!$AC$9</f>
        <v>일반사업[일반]</v>
      </c>
      <c r="Q154" s="618" t="str">
        <f>IFERROR(IF(데이터입력!$AE$2="추경",VLOOKUP($N154,데이터입력!$A:$H,4,FALSE),""),"")</f>
        <v/>
      </c>
      <c r="R154" s="618" t="str">
        <f>IFERROR(IF(데이터입력!$AE$2="추경",VLOOKUP($N154,데이터입력!$A:$H,2,FALSE),""),"")</f>
        <v/>
      </c>
      <c r="S154" s="618" t="str">
        <f>IFERROR(IF(데이터입력!$AE$2="추경",VLOOKUP($N154,데이터입력!$A:$H,5,FALSE),""),"")</f>
        <v/>
      </c>
      <c r="T154" s="618" t="str">
        <f>IFERROR(IF(데이터입력!$AE$2="추경",VLOOKUP($N154,데이터입력!$A:$H,6,FALSE),""),"")</f>
        <v/>
      </c>
      <c r="U154" s="619" t="str">
        <f>IFERROR(IF(데이터입력!$AE$2="추경",VLOOKUP($N154,데이터입력!$A:$L,8,FALSE)+VLOOKUP($N154,데이터입력!$A:$L,9,FALSE)+VLOOKUP($N154,데이터입력!$A:$L,10,FALSE),""),"")</f>
        <v/>
      </c>
      <c r="V154" s="620" t="s">
        <v>135</v>
      </c>
      <c r="W154" s="620" t="s">
        <v>135</v>
      </c>
      <c r="X154" s="620" t="s">
        <v>135</v>
      </c>
      <c r="Y154" s="601"/>
      <c r="Z154" s="182" t="str">
        <f>데이터입력!$AB$8</f>
        <v>00</v>
      </c>
      <c r="AA154" s="185" t="str">
        <f>데이터입력!$AC$9</f>
        <v>일반사업[일반]</v>
      </c>
      <c r="AB154" s="183" t="str">
        <f>IFERROR(IF(데이터입력!$AE$2="추경",VLOOKUP($A154,#REF!,4,FALSE),""),"")</f>
        <v/>
      </c>
      <c r="AC154" s="183" t="str">
        <f>IFERROR(IF(데이터입력!$AE$2="추경",VLOOKUP($A154,#REF!,5,FALSE),""),"")</f>
        <v/>
      </c>
      <c r="AD154" s="183" t="str">
        <f>IFERROR(IF(데이터입력!$AE$2="추경",VLOOKUP($A154,#REF!,6,FALSE),""),"")</f>
        <v/>
      </c>
      <c r="AE154" s="183" t="str">
        <f>IFERROR(IF(데이터입력!$AE$2="추경",VLOOKUP($A154,#REF!,7,FALSE),""),"")</f>
        <v/>
      </c>
      <c r="AF154" s="183"/>
      <c r="AG154" s="184" t="str">
        <f>IFERROR(IF(데이터입력!$AE$2="추경",VLOOKUP($A154,#REF!,9,FALSE),""),"")</f>
        <v/>
      </c>
      <c r="AH154" s="184" t="str">
        <f>IFERROR(IF(데이터입력!$AE$2="추경",VLOOKUP($A154,#REF!,10,FALSE),""),"")</f>
        <v/>
      </c>
      <c r="AI154" s="184" t="str">
        <f>IFERROR(IF(데이터입력!$AE$2="추경",VLOOKUP($A154,#REF!,11,FALSE),""),"")</f>
        <v/>
      </c>
      <c r="AJ154" s="184" t="str">
        <f>IFERROR(IF(데이터입력!$AE$2="추경",VLOOKUP($A154,#REF!,12,FALSE),""),"")</f>
        <v/>
      </c>
      <c r="AK154" s="184" t="str">
        <f>IFERROR(IF(데이터입력!$AE$2="추경",VLOOKUP($A154,#REF!,13,FALSE),""),"")</f>
        <v/>
      </c>
    </row>
    <row r="155" spans="1:37">
      <c r="A155" s="180">
        <v>153</v>
      </c>
      <c r="B155" s="608" t="str">
        <f>IFERROR(IF(F155="06",데이터입력!$AB$8,IF(F155="07",데이터입력!$AD$8,IF(F155="05",데이터입력!$AF$8,데이터입력!$AB$8))),데이터입력!$AB$8)</f>
        <v>00</v>
      </c>
      <c r="C155" s="609" t="str">
        <f>데이터입력!$AC$9</f>
        <v>일반사업[일반]</v>
      </c>
      <c r="D155" s="610" t="str">
        <f>IFERROR(IF(AND(데이터입력!$AE$2="추경",데이터입력!$AM$2=TRUE),VLOOKUP($A155,데이터입력!$A:$H,4,FALSE),""),"")</f>
        <v/>
      </c>
      <c r="E155" s="610" t="str">
        <f>IFERROR(IF(AND(데이터입력!$AE$2="추경",데이터입력!$AM$2=TRUE),VLOOKUP($A155,데이터입력!$A:$H,2,FALSE),""),"")</f>
        <v/>
      </c>
      <c r="F155" s="610" t="str">
        <f>IFERROR(IF(AND(데이터입력!$AE$2="추경",데이터입력!$AM$2=TRUE),VLOOKUP($A155,데이터입력!$A:$H,5,FALSE),""),"")</f>
        <v/>
      </c>
      <c r="G155" s="610" t="str">
        <f>IFERROR(IF(AND(데이터입력!$AE$2="추경",데이터입력!$AM$2=TRUE),VLOOKUP($A155,데이터입력!$A:$H,6,FALSE),""),"")</f>
        <v/>
      </c>
      <c r="H155" s="611" t="str">
        <f>IFERROR(IF(AND(데이터입력!$AE$2="추경",데이터입력!$AM$2=TRUE),VLOOKUP($A155,데이터입력!$A:$L,7,FALSE),""),"")</f>
        <v/>
      </c>
      <c r="I155" s="611" t="str">
        <f>IFERROR(IF(AND(데이터입력!$AE$2="추경",데이터입력!$AM$2=TRUE),VLOOKUP($A155,데이터입력!$A:$L,8,FALSE)+VLOOKUP($A155,데이터입력!$A:$L,9,FALSE)+VLOOKUP($A155,데이터입력!$A:$L,10,FALSE),""),"")</f>
        <v/>
      </c>
      <c r="J155" s="612" t="s">
        <v>135</v>
      </c>
      <c r="K155" s="612" t="s">
        <v>135</v>
      </c>
      <c r="L155" s="612" t="s">
        <v>135</v>
      </c>
      <c r="M155" s="604"/>
      <c r="N155" s="180">
        <v>353</v>
      </c>
      <c r="O155" s="616" t="str">
        <f>IFERROR(IF(S155="06",데이터입력!$AB$8,IF(S155="07",데이터입력!$AD$8,IF(S155="05",데이터입력!$AF$8,데이터입력!$AB$8))),데이터입력!$AB$8)</f>
        <v>00</v>
      </c>
      <c r="P155" s="617" t="str">
        <f>데이터입력!$AC$9</f>
        <v>일반사업[일반]</v>
      </c>
      <c r="Q155" s="618" t="str">
        <f>IFERROR(IF(데이터입력!$AE$2="추경",VLOOKUP($N155,데이터입력!$A:$H,4,FALSE),""),"")</f>
        <v/>
      </c>
      <c r="R155" s="618" t="str">
        <f>IFERROR(IF(데이터입력!$AE$2="추경",VLOOKUP($N155,데이터입력!$A:$H,2,FALSE),""),"")</f>
        <v/>
      </c>
      <c r="S155" s="618" t="str">
        <f>IFERROR(IF(데이터입력!$AE$2="추경",VLOOKUP($N155,데이터입력!$A:$H,5,FALSE),""),"")</f>
        <v/>
      </c>
      <c r="T155" s="618" t="str">
        <f>IFERROR(IF(데이터입력!$AE$2="추경",VLOOKUP($N155,데이터입력!$A:$H,6,FALSE),""),"")</f>
        <v/>
      </c>
      <c r="U155" s="619" t="str">
        <f>IFERROR(IF(데이터입력!$AE$2="추경",VLOOKUP($N155,데이터입력!$A:$L,8,FALSE)+VLOOKUP($N155,데이터입력!$A:$L,9,FALSE)+VLOOKUP($N155,데이터입력!$A:$L,10,FALSE),""),"")</f>
        <v/>
      </c>
      <c r="V155" s="620" t="s">
        <v>135</v>
      </c>
      <c r="W155" s="620" t="s">
        <v>135</v>
      </c>
      <c r="X155" s="620" t="s">
        <v>135</v>
      </c>
      <c r="Y155" s="601"/>
      <c r="Z155" s="182" t="str">
        <f>데이터입력!$AB$8</f>
        <v>00</v>
      </c>
      <c r="AA155" s="185" t="str">
        <f>데이터입력!$AC$9</f>
        <v>일반사업[일반]</v>
      </c>
      <c r="AB155" s="183" t="str">
        <f>IFERROR(IF(데이터입력!$AE$2="추경",VLOOKUP($A155,#REF!,4,FALSE),""),"")</f>
        <v/>
      </c>
      <c r="AC155" s="183" t="str">
        <f>IFERROR(IF(데이터입력!$AE$2="추경",VLOOKUP($A155,#REF!,5,FALSE),""),"")</f>
        <v/>
      </c>
      <c r="AD155" s="183" t="str">
        <f>IFERROR(IF(데이터입력!$AE$2="추경",VLOOKUP($A155,#REF!,6,FALSE),""),"")</f>
        <v/>
      </c>
      <c r="AE155" s="183" t="str">
        <f>IFERROR(IF(데이터입력!$AE$2="추경",VLOOKUP($A155,#REF!,7,FALSE),""),"")</f>
        <v/>
      </c>
      <c r="AF155" s="183"/>
      <c r="AG155" s="184" t="str">
        <f>IFERROR(IF(데이터입력!$AE$2="추경",VLOOKUP($A155,#REF!,9,FALSE),""),"")</f>
        <v/>
      </c>
      <c r="AH155" s="184" t="str">
        <f>IFERROR(IF(데이터입력!$AE$2="추경",VLOOKUP($A155,#REF!,10,FALSE),""),"")</f>
        <v/>
      </c>
      <c r="AI155" s="184" t="str">
        <f>IFERROR(IF(데이터입력!$AE$2="추경",VLOOKUP($A155,#REF!,11,FALSE),""),"")</f>
        <v/>
      </c>
      <c r="AJ155" s="184" t="str">
        <f>IFERROR(IF(데이터입력!$AE$2="추경",VLOOKUP($A155,#REF!,12,FALSE),""),"")</f>
        <v/>
      </c>
      <c r="AK155" s="184" t="str">
        <f>IFERROR(IF(데이터입력!$AE$2="추경",VLOOKUP($A155,#REF!,13,FALSE),""),"")</f>
        <v/>
      </c>
    </row>
    <row r="156" spans="1:37">
      <c r="A156" s="180">
        <v>154</v>
      </c>
      <c r="B156" s="608" t="str">
        <f>IFERROR(IF(F156="06",데이터입력!$AB$8,IF(F156="07",데이터입력!$AD$8,IF(F156="05",데이터입력!$AF$8,데이터입력!$AB$8))),데이터입력!$AB$8)</f>
        <v>00</v>
      </c>
      <c r="C156" s="609" t="str">
        <f>데이터입력!$AC$9</f>
        <v>일반사업[일반]</v>
      </c>
      <c r="D156" s="610" t="str">
        <f>IFERROR(IF(AND(데이터입력!$AE$2="추경",데이터입력!$AM$2=TRUE),VLOOKUP($A156,데이터입력!$A:$H,4,FALSE),""),"")</f>
        <v/>
      </c>
      <c r="E156" s="610" t="str">
        <f>IFERROR(IF(AND(데이터입력!$AE$2="추경",데이터입력!$AM$2=TRUE),VLOOKUP($A156,데이터입력!$A:$H,2,FALSE),""),"")</f>
        <v/>
      </c>
      <c r="F156" s="610" t="str">
        <f>IFERROR(IF(AND(데이터입력!$AE$2="추경",데이터입력!$AM$2=TRUE),VLOOKUP($A156,데이터입력!$A:$H,5,FALSE),""),"")</f>
        <v/>
      </c>
      <c r="G156" s="610" t="str">
        <f>IFERROR(IF(AND(데이터입력!$AE$2="추경",데이터입력!$AM$2=TRUE),VLOOKUP($A156,데이터입력!$A:$H,6,FALSE),""),"")</f>
        <v/>
      </c>
      <c r="H156" s="611" t="str">
        <f>IFERROR(IF(AND(데이터입력!$AE$2="추경",데이터입력!$AM$2=TRUE),VLOOKUP($A156,데이터입력!$A:$L,7,FALSE),""),"")</f>
        <v/>
      </c>
      <c r="I156" s="611" t="str">
        <f>IFERROR(IF(AND(데이터입력!$AE$2="추경",데이터입력!$AM$2=TRUE),VLOOKUP($A156,데이터입력!$A:$L,8,FALSE)+VLOOKUP($A156,데이터입력!$A:$L,9,FALSE)+VLOOKUP($A156,데이터입력!$A:$L,10,FALSE),""),"")</f>
        <v/>
      </c>
      <c r="J156" s="612" t="s">
        <v>135</v>
      </c>
      <c r="K156" s="612" t="s">
        <v>135</v>
      </c>
      <c r="L156" s="612" t="s">
        <v>135</v>
      </c>
      <c r="M156" s="604"/>
      <c r="N156" s="180">
        <v>354</v>
      </c>
      <c r="O156" s="616" t="str">
        <f>IFERROR(IF(S156="06",데이터입력!$AB$8,IF(S156="07",데이터입력!$AD$8,IF(S156="05",데이터입력!$AF$8,데이터입력!$AB$8))),데이터입력!$AB$8)</f>
        <v>00</v>
      </c>
      <c r="P156" s="617" t="str">
        <f>데이터입력!$AC$9</f>
        <v>일반사업[일반]</v>
      </c>
      <c r="Q156" s="618" t="str">
        <f>IFERROR(IF(데이터입력!$AE$2="추경",VLOOKUP($N156,데이터입력!$A:$H,4,FALSE),""),"")</f>
        <v/>
      </c>
      <c r="R156" s="618" t="str">
        <f>IFERROR(IF(데이터입력!$AE$2="추경",VLOOKUP($N156,데이터입력!$A:$H,2,FALSE),""),"")</f>
        <v/>
      </c>
      <c r="S156" s="618" t="str">
        <f>IFERROR(IF(데이터입력!$AE$2="추경",VLOOKUP($N156,데이터입력!$A:$H,5,FALSE),""),"")</f>
        <v/>
      </c>
      <c r="T156" s="618" t="str">
        <f>IFERROR(IF(데이터입력!$AE$2="추경",VLOOKUP($N156,데이터입력!$A:$H,6,FALSE),""),"")</f>
        <v/>
      </c>
      <c r="U156" s="619" t="str">
        <f>IFERROR(IF(데이터입력!$AE$2="추경",VLOOKUP($N156,데이터입력!$A:$L,8,FALSE)+VLOOKUP($N156,데이터입력!$A:$L,9,FALSE)+VLOOKUP($N156,데이터입력!$A:$L,10,FALSE),""),"")</f>
        <v/>
      </c>
      <c r="V156" s="620" t="s">
        <v>135</v>
      </c>
      <c r="W156" s="620" t="s">
        <v>135</v>
      </c>
      <c r="X156" s="620" t="s">
        <v>135</v>
      </c>
      <c r="Y156" s="601"/>
      <c r="Z156" s="182" t="str">
        <f>데이터입력!$AB$8</f>
        <v>00</v>
      </c>
      <c r="AA156" s="185" t="str">
        <f>데이터입력!$AC$9</f>
        <v>일반사업[일반]</v>
      </c>
      <c r="AB156" s="183" t="str">
        <f>IFERROR(IF(데이터입력!$AE$2="추경",VLOOKUP($A156,#REF!,4,FALSE),""),"")</f>
        <v/>
      </c>
      <c r="AC156" s="183" t="str">
        <f>IFERROR(IF(데이터입력!$AE$2="추경",VLOOKUP($A156,#REF!,5,FALSE),""),"")</f>
        <v/>
      </c>
      <c r="AD156" s="183" t="str">
        <f>IFERROR(IF(데이터입력!$AE$2="추경",VLOOKUP($A156,#REF!,6,FALSE),""),"")</f>
        <v/>
      </c>
      <c r="AE156" s="183" t="str">
        <f>IFERROR(IF(데이터입력!$AE$2="추경",VLOOKUP($A156,#REF!,7,FALSE),""),"")</f>
        <v/>
      </c>
      <c r="AF156" s="183"/>
      <c r="AG156" s="184" t="str">
        <f>IFERROR(IF(데이터입력!$AE$2="추경",VLOOKUP($A156,#REF!,9,FALSE),""),"")</f>
        <v/>
      </c>
      <c r="AH156" s="184" t="str">
        <f>IFERROR(IF(데이터입력!$AE$2="추경",VLOOKUP($A156,#REF!,10,FALSE),""),"")</f>
        <v/>
      </c>
      <c r="AI156" s="184" t="str">
        <f>IFERROR(IF(데이터입력!$AE$2="추경",VLOOKUP($A156,#REF!,11,FALSE),""),"")</f>
        <v/>
      </c>
      <c r="AJ156" s="184" t="str">
        <f>IFERROR(IF(데이터입력!$AE$2="추경",VLOOKUP($A156,#REF!,12,FALSE),""),"")</f>
        <v/>
      </c>
      <c r="AK156" s="184" t="str">
        <f>IFERROR(IF(데이터입력!$AE$2="추경",VLOOKUP($A156,#REF!,13,FALSE),""),"")</f>
        <v/>
      </c>
    </row>
    <row r="157" spans="1:37">
      <c r="A157" s="180">
        <v>155</v>
      </c>
      <c r="B157" s="608" t="str">
        <f>IFERROR(IF(F157="06",데이터입력!$AB$8,IF(F157="07",데이터입력!$AD$8,IF(F157="05",데이터입력!$AF$8,데이터입력!$AB$8))),데이터입력!$AB$8)</f>
        <v>00</v>
      </c>
      <c r="C157" s="609" t="str">
        <f>데이터입력!$AC$9</f>
        <v>일반사업[일반]</v>
      </c>
      <c r="D157" s="610" t="str">
        <f>IFERROR(IF(AND(데이터입력!$AE$2="추경",데이터입력!$AM$2=TRUE),VLOOKUP($A157,데이터입력!$A:$H,4,FALSE),""),"")</f>
        <v/>
      </c>
      <c r="E157" s="610" t="str">
        <f>IFERROR(IF(AND(데이터입력!$AE$2="추경",데이터입력!$AM$2=TRUE),VLOOKUP($A157,데이터입력!$A:$H,2,FALSE),""),"")</f>
        <v/>
      </c>
      <c r="F157" s="610" t="str">
        <f>IFERROR(IF(AND(데이터입력!$AE$2="추경",데이터입력!$AM$2=TRUE),VLOOKUP($A157,데이터입력!$A:$H,5,FALSE),""),"")</f>
        <v/>
      </c>
      <c r="G157" s="610" t="str">
        <f>IFERROR(IF(AND(데이터입력!$AE$2="추경",데이터입력!$AM$2=TRUE),VLOOKUP($A157,데이터입력!$A:$H,6,FALSE),""),"")</f>
        <v/>
      </c>
      <c r="H157" s="611" t="str">
        <f>IFERROR(IF(AND(데이터입력!$AE$2="추경",데이터입력!$AM$2=TRUE),VLOOKUP($A157,데이터입력!$A:$L,7,FALSE),""),"")</f>
        <v/>
      </c>
      <c r="I157" s="611" t="str">
        <f>IFERROR(IF(AND(데이터입력!$AE$2="추경",데이터입력!$AM$2=TRUE),VLOOKUP($A157,데이터입력!$A:$L,8,FALSE)+VLOOKUP($A157,데이터입력!$A:$L,9,FALSE)+VLOOKUP($A157,데이터입력!$A:$L,10,FALSE),""),"")</f>
        <v/>
      </c>
      <c r="J157" s="612" t="s">
        <v>135</v>
      </c>
      <c r="K157" s="612" t="s">
        <v>135</v>
      </c>
      <c r="L157" s="612" t="s">
        <v>135</v>
      </c>
      <c r="M157" s="604"/>
      <c r="N157" s="180">
        <v>355</v>
      </c>
      <c r="O157" s="616" t="str">
        <f>IFERROR(IF(S157="06",데이터입력!$AB$8,IF(S157="07",데이터입력!$AD$8,IF(S157="05",데이터입력!$AF$8,데이터입력!$AB$8))),데이터입력!$AB$8)</f>
        <v>00</v>
      </c>
      <c r="P157" s="617" t="str">
        <f>데이터입력!$AC$9</f>
        <v>일반사업[일반]</v>
      </c>
      <c r="Q157" s="618" t="str">
        <f>IFERROR(IF(데이터입력!$AE$2="추경",VLOOKUP($N157,데이터입력!$A:$H,4,FALSE),""),"")</f>
        <v/>
      </c>
      <c r="R157" s="618" t="str">
        <f>IFERROR(IF(데이터입력!$AE$2="추경",VLOOKUP($N157,데이터입력!$A:$H,2,FALSE),""),"")</f>
        <v/>
      </c>
      <c r="S157" s="618" t="str">
        <f>IFERROR(IF(데이터입력!$AE$2="추경",VLOOKUP($N157,데이터입력!$A:$H,5,FALSE),""),"")</f>
        <v/>
      </c>
      <c r="T157" s="618" t="str">
        <f>IFERROR(IF(데이터입력!$AE$2="추경",VLOOKUP($N157,데이터입력!$A:$H,6,FALSE),""),"")</f>
        <v/>
      </c>
      <c r="U157" s="619" t="str">
        <f>IFERROR(IF(데이터입력!$AE$2="추경",VLOOKUP($N157,데이터입력!$A:$L,8,FALSE)+VLOOKUP($N157,데이터입력!$A:$L,9,FALSE)+VLOOKUP($N157,데이터입력!$A:$L,10,FALSE),""),"")</f>
        <v/>
      </c>
      <c r="V157" s="620" t="s">
        <v>135</v>
      </c>
      <c r="W157" s="620" t="s">
        <v>135</v>
      </c>
      <c r="X157" s="620" t="s">
        <v>135</v>
      </c>
      <c r="Y157" s="601"/>
      <c r="Z157" s="182" t="str">
        <f>데이터입력!$AB$8</f>
        <v>00</v>
      </c>
      <c r="AA157" s="185" t="str">
        <f>데이터입력!$AC$9</f>
        <v>일반사업[일반]</v>
      </c>
      <c r="AB157" s="183" t="str">
        <f>IFERROR(IF(데이터입력!$AE$2="추경",VLOOKUP($A157,#REF!,4,FALSE),""),"")</f>
        <v/>
      </c>
      <c r="AC157" s="183" t="str">
        <f>IFERROR(IF(데이터입력!$AE$2="추경",VLOOKUP($A157,#REF!,5,FALSE),""),"")</f>
        <v/>
      </c>
      <c r="AD157" s="183" t="str">
        <f>IFERROR(IF(데이터입력!$AE$2="추경",VLOOKUP($A157,#REF!,6,FALSE),""),"")</f>
        <v/>
      </c>
      <c r="AE157" s="183" t="str">
        <f>IFERROR(IF(데이터입력!$AE$2="추경",VLOOKUP($A157,#REF!,7,FALSE),""),"")</f>
        <v/>
      </c>
      <c r="AF157" s="183"/>
      <c r="AG157" s="184" t="str">
        <f>IFERROR(IF(데이터입력!$AE$2="추경",VLOOKUP($A157,#REF!,9,FALSE),""),"")</f>
        <v/>
      </c>
      <c r="AH157" s="184" t="str">
        <f>IFERROR(IF(데이터입력!$AE$2="추경",VLOOKUP($A157,#REF!,10,FALSE),""),"")</f>
        <v/>
      </c>
      <c r="AI157" s="184" t="str">
        <f>IFERROR(IF(데이터입력!$AE$2="추경",VLOOKUP($A157,#REF!,11,FALSE),""),"")</f>
        <v/>
      </c>
      <c r="AJ157" s="184" t="str">
        <f>IFERROR(IF(데이터입력!$AE$2="추경",VLOOKUP($A157,#REF!,12,FALSE),""),"")</f>
        <v/>
      </c>
      <c r="AK157" s="184" t="str">
        <f>IFERROR(IF(데이터입력!$AE$2="추경",VLOOKUP($A157,#REF!,13,FALSE),""),"")</f>
        <v/>
      </c>
    </row>
    <row r="158" spans="1:37">
      <c r="A158" s="180">
        <v>156</v>
      </c>
      <c r="B158" s="608" t="str">
        <f>IFERROR(IF(F158="06",데이터입력!$AB$8,IF(F158="07",데이터입력!$AD$8,IF(F158="05",데이터입력!$AF$8,데이터입력!$AB$8))),데이터입력!$AB$8)</f>
        <v>00</v>
      </c>
      <c r="C158" s="609" t="str">
        <f>데이터입력!$AC$9</f>
        <v>일반사업[일반]</v>
      </c>
      <c r="D158" s="610" t="str">
        <f>IFERROR(IF(AND(데이터입력!$AE$2="추경",데이터입력!$AM$2=TRUE),VLOOKUP($A158,데이터입력!$A:$H,4,FALSE),""),"")</f>
        <v/>
      </c>
      <c r="E158" s="610" t="str">
        <f>IFERROR(IF(AND(데이터입력!$AE$2="추경",데이터입력!$AM$2=TRUE),VLOOKUP($A158,데이터입력!$A:$H,2,FALSE),""),"")</f>
        <v/>
      </c>
      <c r="F158" s="610" t="str">
        <f>IFERROR(IF(AND(데이터입력!$AE$2="추경",데이터입력!$AM$2=TRUE),VLOOKUP($A158,데이터입력!$A:$H,5,FALSE),""),"")</f>
        <v/>
      </c>
      <c r="G158" s="610" t="str">
        <f>IFERROR(IF(AND(데이터입력!$AE$2="추경",데이터입력!$AM$2=TRUE),VLOOKUP($A158,데이터입력!$A:$H,6,FALSE),""),"")</f>
        <v/>
      </c>
      <c r="H158" s="611" t="str">
        <f>IFERROR(IF(AND(데이터입력!$AE$2="추경",데이터입력!$AM$2=TRUE),VLOOKUP($A158,데이터입력!$A:$L,7,FALSE),""),"")</f>
        <v/>
      </c>
      <c r="I158" s="611" t="str">
        <f>IFERROR(IF(AND(데이터입력!$AE$2="추경",데이터입력!$AM$2=TRUE),VLOOKUP($A158,데이터입력!$A:$L,8,FALSE)+VLOOKUP($A158,데이터입력!$A:$L,9,FALSE)+VLOOKUP($A158,데이터입력!$A:$L,10,FALSE),""),"")</f>
        <v/>
      </c>
      <c r="J158" s="612" t="s">
        <v>135</v>
      </c>
      <c r="K158" s="612" t="s">
        <v>135</v>
      </c>
      <c r="L158" s="612" t="s">
        <v>135</v>
      </c>
      <c r="M158" s="604"/>
      <c r="N158" s="180">
        <v>356</v>
      </c>
      <c r="O158" s="616" t="str">
        <f>IFERROR(IF(S158="06",데이터입력!$AB$8,IF(S158="07",데이터입력!$AD$8,IF(S158="05",데이터입력!$AF$8,데이터입력!$AB$8))),데이터입력!$AB$8)</f>
        <v>00</v>
      </c>
      <c r="P158" s="617" t="str">
        <f>데이터입력!$AC$9</f>
        <v>일반사업[일반]</v>
      </c>
      <c r="Q158" s="618" t="str">
        <f>IFERROR(IF(데이터입력!$AE$2="추경",VLOOKUP($N158,데이터입력!$A:$H,4,FALSE),""),"")</f>
        <v/>
      </c>
      <c r="R158" s="618" t="str">
        <f>IFERROR(IF(데이터입력!$AE$2="추경",VLOOKUP($N158,데이터입력!$A:$H,2,FALSE),""),"")</f>
        <v/>
      </c>
      <c r="S158" s="618" t="str">
        <f>IFERROR(IF(데이터입력!$AE$2="추경",VLOOKUP($N158,데이터입력!$A:$H,5,FALSE),""),"")</f>
        <v/>
      </c>
      <c r="T158" s="618" t="str">
        <f>IFERROR(IF(데이터입력!$AE$2="추경",VLOOKUP($N158,데이터입력!$A:$H,6,FALSE),""),"")</f>
        <v/>
      </c>
      <c r="U158" s="619" t="str">
        <f>IFERROR(IF(데이터입력!$AE$2="추경",VLOOKUP($N158,데이터입력!$A:$L,8,FALSE)+VLOOKUP($N158,데이터입력!$A:$L,9,FALSE)+VLOOKUP($N158,데이터입력!$A:$L,10,FALSE),""),"")</f>
        <v/>
      </c>
      <c r="V158" s="620" t="s">
        <v>135</v>
      </c>
      <c r="W158" s="620" t="s">
        <v>135</v>
      </c>
      <c r="X158" s="620" t="s">
        <v>135</v>
      </c>
      <c r="Y158" s="601"/>
      <c r="Z158" s="182" t="str">
        <f>데이터입력!$AB$8</f>
        <v>00</v>
      </c>
      <c r="AA158" s="185" t="str">
        <f>데이터입력!$AC$9</f>
        <v>일반사업[일반]</v>
      </c>
      <c r="AB158" s="183" t="str">
        <f>IFERROR(IF(데이터입력!$AE$2="추경",VLOOKUP($A158,#REF!,4,FALSE),""),"")</f>
        <v/>
      </c>
      <c r="AC158" s="183" t="str">
        <f>IFERROR(IF(데이터입력!$AE$2="추경",VLOOKUP($A158,#REF!,5,FALSE),""),"")</f>
        <v/>
      </c>
      <c r="AD158" s="183" t="str">
        <f>IFERROR(IF(데이터입력!$AE$2="추경",VLOOKUP($A158,#REF!,6,FALSE),""),"")</f>
        <v/>
      </c>
      <c r="AE158" s="183" t="str">
        <f>IFERROR(IF(데이터입력!$AE$2="추경",VLOOKUP($A158,#REF!,7,FALSE),""),"")</f>
        <v/>
      </c>
      <c r="AF158" s="183"/>
      <c r="AG158" s="184" t="str">
        <f>IFERROR(IF(데이터입력!$AE$2="추경",VLOOKUP($A158,#REF!,9,FALSE),""),"")</f>
        <v/>
      </c>
      <c r="AH158" s="184" t="str">
        <f>IFERROR(IF(데이터입력!$AE$2="추경",VLOOKUP($A158,#REF!,10,FALSE),""),"")</f>
        <v/>
      </c>
      <c r="AI158" s="184" t="str">
        <f>IFERROR(IF(데이터입력!$AE$2="추경",VLOOKUP($A158,#REF!,11,FALSE),""),"")</f>
        <v/>
      </c>
      <c r="AJ158" s="184" t="str">
        <f>IFERROR(IF(데이터입력!$AE$2="추경",VLOOKUP($A158,#REF!,12,FALSE),""),"")</f>
        <v/>
      </c>
      <c r="AK158" s="184" t="str">
        <f>IFERROR(IF(데이터입력!$AE$2="추경",VLOOKUP($A158,#REF!,13,FALSE),""),"")</f>
        <v/>
      </c>
    </row>
    <row r="159" spans="1:37">
      <c r="A159" s="180">
        <v>157</v>
      </c>
      <c r="B159" s="608" t="str">
        <f>IFERROR(IF(F159="06",데이터입력!$AB$8,IF(F159="07",데이터입력!$AD$8,IF(F159="05",데이터입력!$AF$8,데이터입력!$AB$8))),데이터입력!$AB$8)</f>
        <v>00</v>
      </c>
      <c r="C159" s="609" t="str">
        <f>데이터입력!$AC$9</f>
        <v>일반사업[일반]</v>
      </c>
      <c r="D159" s="610" t="str">
        <f>IFERROR(IF(AND(데이터입력!$AE$2="추경",데이터입력!$AM$2=TRUE),VLOOKUP($A159,데이터입력!$A:$H,4,FALSE),""),"")</f>
        <v/>
      </c>
      <c r="E159" s="610" t="str">
        <f>IFERROR(IF(AND(데이터입력!$AE$2="추경",데이터입력!$AM$2=TRUE),VLOOKUP($A159,데이터입력!$A:$H,2,FALSE),""),"")</f>
        <v/>
      </c>
      <c r="F159" s="610" t="str">
        <f>IFERROR(IF(AND(데이터입력!$AE$2="추경",데이터입력!$AM$2=TRUE),VLOOKUP($A159,데이터입력!$A:$H,5,FALSE),""),"")</f>
        <v/>
      </c>
      <c r="G159" s="610" t="str">
        <f>IFERROR(IF(AND(데이터입력!$AE$2="추경",데이터입력!$AM$2=TRUE),VLOOKUP($A159,데이터입력!$A:$H,6,FALSE),""),"")</f>
        <v/>
      </c>
      <c r="H159" s="611" t="str">
        <f>IFERROR(IF(AND(데이터입력!$AE$2="추경",데이터입력!$AM$2=TRUE),VLOOKUP($A159,데이터입력!$A:$L,7,FALSE),""),"")</f>
        <v/>
      </c>
      <c r="I159" s="611" t="str">
        <f>IFERROR(IF(AND(데이터입력!$AE$2="추경",데이터입력!$AM$2=TRUE),VLOOKUP($A159,데이터입력!$A:$L,8,FALSE)+VLOOKUP($A159,데이터입력!$A:$L,9,FALSE)+VLOOKUP($A159,데이터입력!$A:$L,10,FALSE),""),"")</f>
        <v/>
      </c>
      <c r="J159" s="612" t="s">
        <v>135</v>
      </c>
      <c r="K159" s="612" t="s">
        <v>135</v>
      </c>
      <c r="L159" s="612" t="s">
        <v>135</v>
      </c>
      <c r="M159" s="604"/>
      <c r="N159" s="180">
        <v>357</v>
      </c>
      <c r="O159" s="616" t="str">
        <f>IFERROR(IF(S159="06",데이터입력!$AB$8,IF(S159="07",데이터입력!$AD$8,IF(S159="05",데이터입력!$AF$8,데이터입력!$AB$8))),데이터입력!$AB$8)</f>
        <v>00</v>
      </c>
      <c r="P159" s="617" t="str">
        <f>데이터입력!$AC$9</f>
        <v>일반사업[일반]</v>
      </c>
      <c r="Q159" s="618" t="str">
        <f>IFERROR(IF(데이터입력!$AE$2="추경",VLOOKUP($N159,데이터입력!$A:$H,4,FALSE),""),"")</f>
        <v/>
      </c>
      <c r="R159" s="618" t="str">
        <f>IFERROR(IF(데이터입력!$AE$2="추경",VLOOKUP($N159,데이터입력!$A:$H,2,FALSE),""),"")</f>
        <v/>
      </c>
      <c r="S159" s="618" t="str">
        <f>IFERROR(IF(데이터입력!$AE$2="추경",VLOOKUP($N159,데이터입력!$A:$H,5,FALSE),""),"")</f>
        <v/>
      </c>
      <c r="T159" s="618" t="str">
        <f>IFERROR(IF(데이터입력!$AE$2="추경",VLOOKUP($N159,데이터입력!$A:$H,6,FALSE),""),"")</f>
        <v/>
      </c>
      <c r="U159" s="619" t="str">
        <f>IFERROR(IF(데이터입력!$AE$2="추경",VLOOKUP($N159,데이터입력!$A:$L,8,FALSE)+VLOOKUP($N159,데이터입력!$A:$L,9,FALSE)+VLOOKUP($N159,데이터입력!$A:$L,10,FALSE),""),"")</f>
        <v/>
      </c>
      <c r="V159" s="620" t="s">
        <v>135</v>
      </c>
      <c r="W159" s="620" t="s">
        <v>135</v>
      </c>
      <c r="X159" s="620" t="s">
        <v>135</v>
      </c>
      <c r="Y159" s="601"/>
      <c r="Z159" s="182" t="str">
        <f>데이터입력!$AB$8</f>
        <v>00</v>
      </c>
      <c r="AA159" s="185" t="str">
        <f>데이터입력!$AC$9</f>
        <v>일반사업[일반]</v>
      </c>
      <c r="AB159" s="183" t="str">
        <f>IFERROR(IF(데이터입력!$AE$2="추경",VLOOKUP($A159,#REF!,4,FALSE),""),"")</f>
        <v/>
      </c>
      <c r="AC159" s="183" t="str">
        <f>IFERROR(IF(데이터입력!$AE$2="추경",VLOOKUP($A159,#REF!,5,FALSE),""),"")</f>
        <v/>
      </c>
      <c r="AD159" s="183" t="str">
        <f>IFERROR(IF(데이터입력!$AE$2="추경",VLOOKUP($A159,#REF!,6,FALSE),""),"")</f>
        <v/>
      </c>
      <c r="AE159" s="183" t="str">
        <f>IFERROR(IF(데이터입력!$AE$2="추경",VLOOKUP($A159,#REF!,7,FALSE),""),"")</f>
        <v/>
      </c>
      <c r="AF159" s="183"/>
      <c r="AG159" s="184" t="str">
        <f>IFERROR(IF(데이터입력!$AE$2="추경",VLOOKUP($A159,#REF!,9,FALSE),""),"")</f>
        <v/>
      </c>
      <c r="AH159" s="184" t="str">
        <f>IFERROR(IF(데이터입력!$AE$2="추경",VLOOKUP($A159,#REF!,10,FALSE),""),"")</f>
        <v/>
      </c>
      <c r="AI159" s="184" t="str">
        <f>IFERROR(IF(데이터입력!$AE$2="추경",VLOOKUP($A159,#REF!,11,FALSE),""),"")</f>
        <v/>
      </c>
      <c r="AJ159" s="184" t="str">
        <f>IFERROR(IF(데이터입력!$AE$2="추경",VLOOKUP($A159,#REF!,12,FALSE),""),"")</f>
        <v/>
      </c>
      <c r="AK159" s="184" t="str">
        <f>IFERROR(IF(데이터입력!$AE$2="추경",VLOOKUP($A159,#REF!,13,FALSE),""),"")</f>
        <v/>
      </c>
    </row>
    <row r="160" spans="1:37">
      <c r="A160" s="180">
        <v>158</v>
      </c>
      <c r="B160" s="608" t="str">
        <f>IFERROR(IF(F160="06",데이터입력!$AB$8,IF(F160="07",데이터입력!$AD$8,IF(F160="05",데이터입력!$AF$8,데이터입력!$AB$8))),데이터입력!$AB$8)</f>
        <v>00</v>
      </c>
      <c r="C160" s="609" t="str">
        <f>데이터입력!$AC$9</f>
        <v>일반사업[일반]</v>
      </c>
      <c r="D160" s="610" t="str">
        <f>IFERROR(IF(AND(데이터입력!$AE$2="추경",데이터입력!$AM$2=TRUE),VLOOKUP($A160,데이터입력!$A:$H,4,FALSE),""),"")</f>
        <v/>
      </c>
      <c r="E160" s="610" t="str">
        <f>IFERROR(IF(AND(데이터입력!$AE$2="추경",데이터입력!$AM$2=TRUE),VLOOKUP($A160,데이터입력!$A:$H,2,FALSE),""),"")</f>
        <v/>
      </c>
      <c r="F160" s="610" t="str">
        <f>IFERROR(IF(AND(데이터입력!$AE$2="추경",데이터입력!$AM$2=TRUE),VLOOKUP($A160,데이터입력!$A:$H,5,FALSE),""),"")</f>
        <v/>
      </c>
      <c r="G160" s="610" t="str">
        <f>IFERROR(IF(AND(데이터입력!$AE$2="추경",데이터입력!$AM$2=TRUE),VLOOKUP($A160,데이터입력!$A:$H,6,FALSE),""),"")</f>
        <v/>
      </c>
      <c r="H160" s="611" t="str">
        <f>IFERROR(IF(AND(데이터입력!$AE$2="추경",데이터입력!$AM$2=TRUE),VLOOKUP($A160,데이터입력!$A:$L,7,FALSE),""),"")</f>
        <v/>
      </c>
      <c r="I160" s="611" t="str">
        <f>IFERROR(IF(AND(데이터입력!$AE$2="추경",데이터입력!$AM$2=TRUE),VLOOKUP($A160,데이터입력!$A:$L,8,FALSE)+VLOOKUP($A160,데이터입력!$A:$L,9,FALSE)+VLOOKUP($A160,데이터입력!$A:$L,10,FALSE),""),"")</f>
        <v/>
      </c>
      <c r="J160" s="612" t="s">
        <v>135</v>
      </c>
      <c r="K160" s="612" t="s">
        <v>135</v>
      </c>
      <c r="L160" s="612" t="s">
        <v>135</v>
      </c>
      <c r="M160" s="604"/>
      <c r="N160" s="180">
        <v>358</v>
      </c>
      <c r="O160" s="616" t="str">
        <f>IFERROR(IF(S160="06",데이터입력!$AB$8,IF(S160="07",데이터입력!$AD$8,IF(S160="05",데이터입력!$AF$8,데이터입력!$AB$8))),데이터입력!$AB$8)</f>
        <v>00</v>
      </c>
      <c r="P160" s="617" t="str">
        <f>데이터입력!$AC$9</f>
        <v>일반사업[일반]</v>
      </c>
      <c r="Q160" s="618" t="str">
        <f>IFERROR(IF(데이터입력!$AE$2="추경",VLOOKUP($N160,데이터입력!$A:$H,4,FALSE),""),"")</f>
        <v/>
      </c>
      <c r="R160" s="618" t="str">
        <f>IFERROR(IF(데이터입력!$AE$2="추경",VLOOKUP($N160,데이터입력!$A:$H,2,FALSE),""),"")</f>
        <v/>
      </c>
      <c r="S160" s="618" t="str">
        <f>IFERROR(IF(데이터입력!$AE$2="추경",VLOOKUP($N160,데이터입력!$A:$H,5,FALSE),""),"")</f>
        <v/>
      </c>
      <c r="T160" s="618" t="str">
        <f>IFERROR(IF(데이터입력!$AE$2="추경",VLOOKUP($N160,데이터입력!$A:$H,6,FALSE),""),"")</f>
        <v/>
      </c>
      <c r="U160" s="619" t="str">
        <f>IFERROR(IF(데이터입력!$AE$2="추경",VLOOKUP($N160,데이터입력!$A:$L,8,FALSE)+VLOOKUP($N160,데이터입력!$A:$L,9,FALSE)+VLOOKUP($N160,데이터입력!$A:$L,10,FALSE),""),"")</f>
        <v/>
      </c>
      <c r="V160" s="620" t="s">
        <v>135</v>
      </c>
      <c r="W160" s="620" t="s">
        <v>135</v>
      </c>
      <c r="X160" s="620" t="s">
        <v>135</v>
      </c>
      <c r="Y160" s="601"/>
      <c r="Z160" s="182" t="str">
        <f>데이터입력!$AB$8</f>
        <v>00</v>
      </c>
      <c r="AA160" s="185" t="str">
        <f>데이터입력!$AC$9</f>
        <v>일반사업[일반]</v>
      </c>
      <c r="AB160" s="183" t="str">
        <f>IFERROR(IF(데이터입력!$AE$2="추경",VLOOKUP($A160,#REF!,4,FALSE),""),"")</f>
        <v/>
      </c>
      <c r="AC160" s="183" t="str">
        <f>IFERROR(IF(데이터입력!$AE$2="추경",VLOOKUP($A160,#REF!,5,FALSE),""),"")</f>
        <v/>
      </c>
      <c r="AD160" s="183" t="str">
        <f>IFERROR(IF(데이터입력!$AE$2="추경",VLOOKUP($A160,#REF!,6,FALSE),""),"")</f>
        <v/>
      </c>
      <c r="AE160" s="183" t="str">
        <f>IFERROR(IF(데이터입력!$AE$2="추경",VLOOKUP($A160,#REF!,7,FALSE),""),"")</f>
        <v/>
      </c>
      <c r="AF160" s="183"/>
      <c r="AG160" s="184" t="str">
        <f>IFERROR(IF(데이터입력!$AE$2="추경",VLOOKUP($A160,#REF!,9,FALSE),""),"")</f>
        <v/>
      </c>
      <c r="AH160" s="184" t="str">
        <f>IFERROR(IF(데이터입력!$AE$2="추경",VLOOKUP($A160,#REF!,10,FALSE),""),"")</f>
        <v/>
      </c>
      <c r="AI160" s="184" t="str">
        <f>IFERROR(IF(데이터입력!$AE$2="추경",VLOOKUP($A160,#REF!,11,FALSE),""),"")</f>
        <v/>
      </c>
      <c r="AJ160" s="184" t="str">
        <f>IFERROR(IF(데이터입력!$AE$2="추경",VLOOKUP($A160,#REF!,12,FALSE),""),"")</f>
        <v/>
      </c>
      <c r="AK160" s="184" t="str">
        <f>IFERROR(IF(데이터입력!$AE$2="추경",VLOOKUP($A160,#REF!,13,FALSE),""),"")</f>
        <v/>
      </c>
    </row>
    <row r="161" spans="1:37">
      <c r="A161" s="180">
        <v>159</v>
      </c>
      <c r="B161" s="608" t="str">
        <f>IFERROR(IF(F161="06",데이터입력!$AB$8,IF(F161="07",데이터입력!$AD$8,IF(F161="05",데이터입력!$AF$8,데이터입력!$AB$8))),데이터입력!$AB$8)</f>
        <v>00</v>
      </c>
      <c r="C161" s="609" t="str">
        <f>데이터입력!$AC$9</f>
        <v>일반사업[일반]</v>
      </c>
      <c r="D161" s="610" t="str">
        <f>IFERROR(IF(AND(데이터입력!$AE$2="추경",데이터입력!$AM$2=TRUE),VLOOKUP($A161,데이터입력!$A:$H,4,FALSE),""),"")</f>
        <v/>
      </c>
      <c r="E161" s="610" t="str">
        <f>IFERROR(IF(AND(데이터입력!$AE$2="추경",데이터입력!$AM$2=TRUE),VLOOKUP($A161,데이터입력!$A:$H,2,FALSE),""),"")</f>
        <v/>
      </c>
      <c r="F161" s="610" t="str">
        <f>IFERROR(IF(AND(데이터입력!$AE$2="추경",데이터입력!$AM$2=TRUE),VLOOKUP($A161,데이터입력!$A:$H,5,FALSE),""),"")</f>
        <v/>
      </c>
      <c r="G161" s="610" t="str">
        <f>IFERROR(IF(AND(데이터입력!$AE$2="추경",데이터입력!$AM$2=TRUE),VLOOKUP($A161,데이터입력!$A:$H,6,FALSE),""),"")</f>
        <v/>
      </c>
      <c r="H161" s="611" t="str">
        <f>IFERROR(IF(AND(데이터입력!$AE$2="추경",데이터입력!$AM$2=TRUE),VLOOKUP($A161,데이터입력!$A:$L,7,FALSE),""),"")</f>
        <v/>
      </c>
      <c r="I161" s="611" t="str">
        <f>IFERROR(IF(AND(데이터입력!$AE$2="추경",데이터입력!$AM$2=TRUE),VLOOKUP($A161,데이터입력!$A:$L,8,FALSE)+VLOOKUP($A161,데이터입력!$A:$L,9,FALSE)+VLOOKUP($A161,데이터입력!$A:$L,10,FALSE),""),"")</f>
        <v/>
      </c>
      <c r="J161" s="612" t="s">
        <v>135</v>
      </c>
      <c r="K161" s="612" t="s">
        <v>135</v>
      </c>
      <c r="L161" s="612" t="s">
        <v>135</v>
      </c>
      <c r="M161" s="604"/>
      <c r="N161" s="180">
        <v>359</v>
      </c>
      <c r="O161" s="616" t="str">
        <f>IFERROR(IF(S161="06",데이터입력!$AB$8,IF(S161="07",데이터입력!$AD$8,IF(S161="05",데이터입력!$AF$8,데이터입력!$AB$8))),데이터입력!$AB$8)</f>
        <v>00</v>
      </c>
      <c r="P161" s="617" t="str">
        <f>데이터입력!$AC$9</f>
        <v>일반사업[일반]</v>
      </c>
      <c r="Q161" s="618" t="str">
        <f>IFERROR(IF(데이터입력!$AE$2="추경",VLOOKUP($N161,데이터입력!$A:$H,4,FALSE),""),"")</f>
        <v/>
      </c>
      <c r="R161" s="618" t="str">
        <f>IFERROR(IF(데이터입력!$AE$2="추경",VLOOKUP($N161,데이터입력!$A:$H,2,FALSE),""),"")</f>
        <v/>
      </c>
      <c r="S161" s="618" t="str">
        <f>IFERROR(IF(데이터입력!$AE$2="추경",VLOOKUP($N161,데이터입력!$A:$H,5,FALSE),""),"")</f>
        <v/>
      </c>
      <c r="T161" s="618" t="str">
        <f>IFERROR(IF(데이터입력!$AE$2="추경",VLOOKUP($N161,데이터입력!$A:$H,6,FALSE),""),"")</f>
        <v/>
      </c>
      <c r="U161" s="619" t="str">
        <f>IFERROR(IF(데이터입력!$AE$2="추경",VLOOKUP($N161,데이터입력!$A:$L,8,FALSE)+VLOOKUP($N161,데이터입력!$A:$L,9,FALSE)+VLOOKUP($N161,데이터입력!$A:$L,10,FALSE),""),"")</f>
        <v/>
      </c>
      <c r="V161" s="620" t="s">
        <v>135</v>
      </c>
      <c r="W161" s="620" t="s">
        <v>135</v>
      </c>
      <c r="X161" s="620" t="s">
        <v>135</v>
      </c>
      <c r="Y161" s="601"/>
      <c r="Z161" s="182" t="str">
        <f>데이터입력!$AB$8</f>
        <v>00</v>
      </c>
      <c r="AA161" s="185" t="str">
        <f>데이터입력!$AC$9</f>
        <v>일반사업[일반]</v>
      </c>
      <c r="AB161" s="183" t="str">
        <f>IFERROR(IF(데이터입력!$AE$2="추경",VLOOKUP($A161,#REF!,4,FALSE),""),"")</f>
        <v/>
      </c>
      <c r="AC161" s="183" t="str">
        <f>IFERROR(IF(데이터입력!$AE$2="추경",VLOOKUP($A161,#REF!,5,FALSE),""),"")</f>
        <v/>
      </c>
      <c r="AD161" s="183" t="str">
        <f>IFERROR(IF(데이터입력!$AE$2="추경",VLOOKUP($A161,#REF!,6,FALSE),""),"")</f>
        <v/>
      </c>
      <c r="AE161" s="183" t="str">
        <f>IFERROR(IF(데이터입력!$AE$2="추경",VLOOKUP($A161,#REF!,7,FALSE),""),"")</f>
        <v/>
      </c>
      <c r="AF161" s="183"/>
      <c r="AG161" s="184" t="str">
        <f>IFERROR(IF(데이터입력!$AE$2="추경",VLOOKUP($A161,#REF!,9,FALSE),""),"")</f>
        <v/>
      </c>
      <c r="AH161" s="184" t="str">
        <f>IFERROR(IF(데이터입력!$AE$2="추경",VLOOKUP($A161,#REF!,10,FALSE),""),"")</f>
        <v/>
      </c>
      <c r="AI161" s="184" t="str">
        <f>IFERROR(IF(데이터입력!$AE$2="추경",VLOOKUP($A161,#REF!,11,FALSE),""),"")</f>
        <v/>
      </c>
      <c r="AJ161" s="184" t="str">
        <f>IFERROR(IF(데이터입력!$AE$2="추경",VLOOKUP($A161,#REF!,12,FALSE),""),"")</f>
        <v/>
      </c>
      <c r="AK161" s="184" t="str">
        <f>IFERROR(IF(데이터입력!$AE$2="추경",VLOOKUP($A161,#REF!,13,FALSE),""),"")</f>
        <v/>
      </c>
    </row>
    <row r="162" spans="1:37">
      <c r="A162" s="180">
        <v>160</v>
      </c>
      <c r="B162" s="608" t="str">
        <f>IFERROR(IF(F162="06",데이터입력!$AB$8,IF(F162="07",데이터입력!$AD$8,IF(F162="05",데이터입력!$AF$8,데이터입력!$AB$8))),데이터입력!$AB$8)</f>
        <v>00</v>
      </c>
      <c r="C162" s="609" t="str">
        <f>데이터입력!$AC$9</f>
        <v>일반사업[일반]</v>
      </c>
      <c r="D162" s="610" t="str">
        <f>IFERROR(IF(AND(데이터입력!$AE$2="추경",데이터입력!$AM$2=TRUE),VLOOKUP($A162,데이터입력!$A:$H,4,FALSE),""),"")</f>
        <v/>
      </c>
      <c r="E162" s="610" t="str">
        <f>IFERROR(IF(AND(데이터입력!$AE$2="추경",데이터입력!$AM$2=TRUE),VLOOKUP($A162,데이터입력!$A:$H,2,FALSE),""),"")</f>
        <v/>
      </c>
      <c r="F162" s="610" t="str">
        <f>IFERROR(IF(AND(데이터입력!$AE$2="추경",데이터입력!$AM$2=TRUE),VLOOKUP($A162,데이터입력!$A:$H,5,FALSE),""),"")</f>
        <v/>
      </c>
      <c r="G162" s="610" t="str">
        <f>IFERROR(IF(AND(데이터입력!$AE$2="추경",데이터입력!$AM$2=TRUE),VLOOKUP($A162,데이터입력!$A:$H,6,FALSE),""),"")</f>
        <v/>
      </c>
      <c r="H162" s="611" t="str">
        <f>IFERROR(IF(AND(데이터입력!$AE$2="추경",데이터입력!$AM$2=TRUE),VLOOKUP($A162,데이터입력!$A:$L,7,FALSE),""),"")</f>
        <v/>
      </c>
      <c r="I162" s="611" t="str">
        <f>IFERROR(IF(AND(데이터입력!$AE$2="추경",데이터입력!$AM$2=TRUE),VLOOKUP($A162,데이터입력!$A:$L,8,FALSE)+VLOOKUP($A162,데이터입력!$A:$L,9,FALSE)+VLOOKUP($A162,데이터입력!$A:$L,10,FALSE),""),"")</f>
        <v/>
      </c>
      <c r="J162" s="612" t="s">
        <v>135</v>
      </c>
      <c r="K162" s="612" t="s">
        <v>135</v>
      </c>
      <c r="L162" s="612" t="s">
        <v>135</v>
      </c>
      <c r="M162" s="604"/>
      <c r="N162" s="180">
        <v>360</v>
      </c>
      <c r="O162" s="616" t="str">
        <f>IFERROR(IF(S162="06",데이터입력!$AB$8,IF(S162="07",데이터입력!$AD$8,IF(S162="05",데이터입력!$AF$8,데이터입력!$AB$8))),데이터입력!$AB$8)</f>
        <v>00</v>
      </c>
      <c r="P162" s="617" t="str">
        <f>데이터입력!$AC$9</f>
        <v>일반사업[일반]</v>
      </c>
      <c r="Q162" s="618" t="str">
        <f>IFERROR(IF(데이터입력!$AE$2="추경",VLOOKUP($N162,데이터입력!$A:$H,4,FALSE),""),"")</f>
        <v/>
      </c>
      <c r="R162" s="618" t="str">
        <f>IFERROR(IF(데이터입력!$AE$2="추경",VLOOKUP($N162,데이터입력!$A:$H,2,FALSE),""),"")</f>
        <v/>
      </c>
      <c r="S162" s="618" t="str">
        <f>IFERROR(IF(데이터입력!$AE$2="추경",VLOOKUP($N162,데이터입력!$A:$H,5,FALSE),""),"")</f>
        <v/>
      </c>
      <c r="T162" s="618" t="str">
        <f>IFERROR(IF(데이터입력!$AE$2="추경",VLOOKUP($N162,데이터입력!$A:$H,6,FALSE),""),"")</f>
        <v/>
      </c>
      <c r="U162" s="619" t="str">
        <f>IFERROR(IF(데이터입력!$AE$2="추경",VLOOKUP($N162,데이터입력!$A:$L,8,FALSE)+VLOOKUP($N162,데이터입력!$A:$L,9,FALSE)+VLOOKUP($N162,데이터입력!$A:$L,10,FALSE),""),"")</f>
        <v/>
      </c>
      <c r="V162" s="620" t="s">
        <v>135</v>
      </c>
      <c r="W162" s="620" t="s">
        <v>135</v>
      </c>
      <c r="X162" s="620" t="s">
        <v>135</v>
      </c>
      <c r="Y162" s="601"/>
      <c r="Z162" s="182" t="str">
        <f>데이터입력!$AB$8</f>
        <v>00</v>
      </c>
      <c r="AA162" s="185" t="str">
        <f>데이터입력!$AC$9</f>
        <v>일반사업[일반]</v>
      </c>
      <c r="AB162" s="183" t="str">
        <f>IFERROR(IF(데이터입력!$AE$2="추경",VLOOKUP($A162,#REF!,4,FALSE),""),"")</f>
        <v/>
      </c>
      <c r="AC162" s="183" t="str">
        <f>IFERROR(IF(데이터입력!$AE$2="추경",VLOOKUP($A162,#REF!,5,FALSE),""),"")</f>
        <v/>
      </c>
      <c r="AD162" s="183" t="str">
        <f>IFERROR(IF(데이터입력!$AE$2="추경",VLOOKUP($A162,#REF!,6,FALSE),""),"")</f>
        <v/>
      </c>
      <c r="AE162" s="183" t="str">
        <f>IFERROR(IF(데이터입력!$AE$2="추경",VLOOKUP($A162,#REF!,7,FALSE),""),"")</f>
        <v/>
      </c>
      <c r="AF162" s="183"/>
      <c r="AG162" s="184" t="str">
        <f>IFERROR(IF(데이터입력!$AE$2="추경",VLOOKUP($A162,#REF!,9,FALSE),""),"")</f>
        <v/>
      </c>
      <c r="AH162" s="184" t="str">
        <f>IFERROR(IF(데이터입력!$AE$2="추경",VLOOKUP($A162,#REF!,10,FALSE),""),"")</f>
        <v/>
      </c>
      <c r="AI162" s="184" t="str">
        <f>IFERROR(IF(데이터입력!$AE$2="추경",VLOOKUP($A162,#REF!,11,FALSE),""),"")</f>
        <v/>
      </c>
      <c r="AJ162" s="184" t="str">
        <f>IFERROR(IF(데이터입력!$AE$2="추경",VLOOKUP($A162,#REF!,12,FALSE),""),"")</f>
        <v/>
      </c>
      <c r="AK162" s="184" t="str">
        <f>IFERROR(IF(데이터입력!$AE$2="추경",VLOOKUP($A162,#REF!,13,FALSE),""),"")</f>
        <v/>
      </c>
    </row>
    <row r="163" spans="1:37">
      <c r="A163" s="180">
        <v>161</v>
      </c>
      <c r="B163" s="608" t="str">
        <f>IFERROR(IF(F163="06",데이터입력!$AB$8,IF(F163="07",데이터입력!$AD$8,IF(F163="05",데이터입력!$AF$8,데이터입력!$AB$8))),데이터입력!$AB$8)</f>
        <v>00</v>
      </c>
      <c r="C163" s="609" t="str">
        <f>데이터입력!$AC$9</f>
        <v>일반사업[일반]</v>
      </c>
      <c r="D163" s="610" t="str">
        <f>IFERROR(IF(AND(데이터입력!$AE$2="추경",데이터입력!$AM$2=TRUE),VLOOKUP($A163,데이터입력!$A:$H,4,FALSE),""),"")</f>
        <v/>
      </c>
      <c r="E163" s="610" t="str">
        <f>IFERROR(IF(AND(데이터입력!$AE$2="추경",데이터입력!$AM$2=TRUE),VLOOKUP($A163,데이터입력!$A:$H,2,FALSE),""),"")</f>
        <v/>
      </c>
      <c r="F163" s="610" t="str">
        <f>IFERROR(IF(AND(데이터입력!$AE$2="추경",데이터입력!$AM$2=TRUE),VLOOKUP($A163,데이터입력!$A:$H,5,FALSE),""),"")</f>
        <v/>
      </c>
      <c r="G163" s="610" t="str">
        <f>IFERROR(IF(AND(데이터입력!$AE$2="추경",데이터입력!$AM$2=TRUE),VLOOKUP($A163,데이터입력!$A:$H,6,FALSE),""),"")</f>
        <v/>
      </c>
      <c r="H163" s="611" t="str">
        <f>IFERROR(IF(AND(데이터입력!$AE$2="추경",데이터입력!$AM$2=TRUE),VLOOKUP($A163,데이터입력!$A:$L,7,FALSE),""),"")</f>
        <v/>
      </c>
      <c r="I163" s="611" t="str">
        <f>IFERROR(IF(AND(데이터입력!$AE$2="추경",데이터입력!$AM$2=TRUE),VLOOKUP($A163,데이터입력!$A:$L,8,FALSE)+VLOOKUP($A163,데이터입력!$A:$L,9,FALSE)+VLOOKUP($A163,데이터입력!$A:$L,10,FALSE),""),"")</f>
        <v/>
      </c>
      <c r="J163" s="612" t="s">
        <v>135</v>
      </c>
      <c r="K163" s="612" t="s">
        <v>135</v>
      </c>
      <c r="L163" s="612" t="s">
        <v>135</v>
      </c>
      <c r="M163" s="604"/>
      <c r="N163" s="180">
        <v>361</v>
      </c>
      <c r="O163" s="616" t="str">
        <f>IFERROR(IF(S163="06",데이터입력!$AB$8,IF(S163="07",데이터입력!$AD$8,IF(S163="05",데이터입력!$AF$8,데이터입력!$AB$8))),데이터입력!$AB$8)</f>
        <v>00</v>
      </c>
      <c r="P163" s="617" t="str">
        <f>데이터입력!$AC$9</f>
        <v>일반사업[일반]</v>
      </c>
      <c r="Q163" s="618" t="str">
        <f>IFERROR(IF(데이터입력!$AE$2="추경",VLOOKUP($N163,데이터입력!$A:$H,4,FALSE),""),"")</f>
        <v/>
      </c>
      <c r="R163" s="618" t="str">
        <f>IFERROR(IF(데이터입력!$AE$2="추경",VLOOKUP($N163,데이터입력!$A:$H,2,FALSE),""),"")</f>
        <v/>
      </c>
      <c r="S163" s="618" t="str">
        <f>IFERROR(IF(데이터입력!$AE$2="추경",VLOOKUP($N163,데이터입력!$A:$H,5,FALSE),""),"")</f>
        <v/>
      </c>
      <c r="T163" s="618" t="str">
        <f>IFERROR(IF(데이터입력!$AE$2="추경",VLOOKUP($N163,데이터입력!$A:$H,6,FALSE),""),"")</f>
        <v/>
      </c>
      <c r="U163" s="619" t="str">
        <f>IFERROR(IF(데이터입력!$AE$2="추경",VLOOKUP($N163,데이터입력!$A:$L,8,FALSE)+VLOOKUP($N163,데이터입력!$A:$L,9,FALSE)+VLOOKUP($N163,데이터입력!$A:$L,10,FALSE),""),"")</f>
        <v/>
      </c>
      <c r="V163" s="620" t="s">
        <v>135</v>
      </c>
      <c r="W163" s="620" t="s">
        <v>135</v>
      </c>
      <c r="X163" s="620" t="s">
        <v>135</v>
      </c>
      <c r="Y163" s="601"/>
      <c r="Z163" s="182" t="str">
        <f>데이터입력!$AB$8</f>
        <v>00</v>
      </c>
      <c r="AA163" s="185" t="str">
        <f>데이터입력!$AC$9</f>
        <v>일반사업[일반]</v>
      </c>
      <c r="AB163" s="183" t="str">
        <f>IFERROR(IF(데이터입력!$AE$2="추경",VLOOKUP($A163,#REF!,4,FALSE),""),"")</f>
        <v/>
      </c>
      <c r="AC163" s="183" t="str">
        <f>IFERROR(IF(데이터입력!$AE$2="추경",VLOOKUP($A163,#REF!,5,FALSE),""),"")</f>
        <v/>
      </c>
      <c r="AD163" s="183" t="str">
        <f>IFERROR(IF(데이터입력!$AE$2="추경",VLOOKUP($A163,#REF!,6,FALSE),""),"")</f>
        <v/>
      </c>
      <c r="AE163" s="183" t="str">
        <f>IFERROR(IF(데이터입력!$AE$2="추경",VLOOKUP($A163,#REF!,7,FALSE),""),"")</f>
        <v/>
      </c>
      <c r="AF163" s="183"/>
      <c r="AG163" s="184" t="str">
        <f>IFERROR(IF(데이터입력!$AE$2="추경",VLOOKUP($A163,#REF!,9,FALSE),""),"")</f>
        <v/>
      </c>
      <c r="AH163" s="184" t="str">
        <f>IFERROR(IF(데이터입력!$AE$2="추경",VLOOKUP($A163,#REF!,10,FALSE),""),"")</f>
        <v/>
      </c>
      <c r="AI163" s="184" t="str">
        <f>IFERROR(IF(데이터입력!$AE$2="추경",VLOOKUP($A163,#REF!,11,FALSE),""),"")</f>
        <v/>
      </c>
      <c r="AJ163" s="184" t="str">
        <f>IFERROR(IF(데이터입력!$AE$2="추경",VLOOKUP($A163,#REF!,12,FALSE),""),"")</f>
        <v/>
      </c>
      <c r="AK163" s="184" t="str">
        <f>IFERROR(IF(데이터입력!$AE$2="추경",VLOOKUP($A163,#REF!,13,FALSE),""),"")</f>
        <v/>
      </c>
    </row>
    <row r="164" spans="1:37">
      <c r="A164" s="180">
        <v>162</v>
      </c>
      <c r="B164" s="608" t="str">
        <f>IFERROR(IF(F164="06",데이터입력!$AB$8,IF(F164="07",데이터입력!$AD$8,IF(F164="05",데이터입력!$AF$8,데이터입력!$AB$8))),데이터입력!$AB$8)</f>
        <v>00</v>
      </c>
      <c r="C164" s="609" t="str">
        <f>데이터입력!$AC$9</f>
        <v>일반사업[일반]</v>
      </c>
      <c r="D164" s="610" t="str">
        <f>IFERROR(IF(AND(데이터입력!$AE$2="추경",데이터입력!$AM$2=TRUE),VLOOKUP($A164,데이터입력!$A:$H,4,FALSE),""),"")</f>
        <v/>
      </c>
      <c r="E164" s="610" t="str">
        <f>IFERROR(IF(AND(데이터입력!$AE$2="추경",데이터입력!$AM$2=TRUE),VLOOKUP($A164,데이터입력!$A:$H,2,FALSE),""),"")</f>
        <v/>
      </c>
      <c r="F164" s="610" t="str">
        <f>IFERROR(IF(AND(데이터입력!$AE$2="추경",데이터입력!$AM$2=TRUE),VLOOKUP($A164,데이터입력!$A:$H,5,FALSE),""),"")</f>
        <v/>
      </c>
      <c r="G164" s="610" t="str">
        <f>IFERROR(IF(AND(데이터입력!$AE$2="추경",데이터입력!$AM$2=TRUE),VLOOKUP($A164,데이터입력!$A:$H,6,FALSE),""),"")</f>
        <v/>
      </c>
      <c r="H164" s="611" t="str">
        <f>IFERROR(IF(AND(데이터입력!$AE$2="추경",데이터입력!$AM$2=TRUE),VLOOKUP($A164,데이터입력!$A:$L,7,FALSE),""),"")</f>
        <v/>
      </c>
      <c r="I164" s="611" t="str">
        <f>IFERROR(IF(AND(데이터입력!$AE$2="추경",데이터입력!$AM$2=TRUE),VLOOKUP($A164,데이터입력!$A:$L,8,FALSE)+VLOOKUP($A164,데이터입력!$A:$L,9,FALSE)+VLOOKUP($A164,데이터입력!$A:$L,10,FALSE),""),"")</f>
        <v/>
      </c>
      <c r="J164" s="612" t="s">
        <v>135</v>
      </c>
      <c r="K164" s="612" t="s">
        <v>135</v>
      </c>
      <c r="L164" s="612" t="s">
        <v>135</v>
      </c>
      <c r="M164" s="604"/>
      <c r="N164" s="180">
        <v>362</v>
      </c>
      <c r="O164" s="616" t="str">
        <f>IFERROR(IF(S164="06",데이터입력!$AB$8,IF(S164="07",데이터입력!$AD$8,IF(S164="05",데이터입력!$AF$8,데이터입력!$AB$8))),데이터입력!$AB$8)</f>
        <v>00</v>
      </c>
      <c r="P164" s="617" t="str">
        <f>데이터입력!$AC$9</f>
        <v>일반사업[일반]</v>
      </c>
      <c r="Q164" s="618" t="str">
        <f>IFERROR(IF(데이터입력!$AE$2="추경",VLOOKUP($N164,데이터입력!$A:$H,4,FALSE),""),"")</f>
        <v/>
      </c>
      <c r="R164" s="618" t="str">
        <f>IFERROR(IF(데이터입력!$AE$2="추경",VLOOKUP($N164,데이터입력!$A:$H,2,FALSE),""),"")</f>
        <v/>
      </c>
      <c r="S164" s="618" t="str">
        <f>IFERROR(IF(데이터입력!$AE$2="추경",VLOOKUP($N164,데이터입력!$A:$H,5,FALSE),""),"")</f>
        <v/>
      </c>
      <c r="T164" s="618" t="str">
        <f>IFERROR(IF(데이터입력!$AE$2="추경",VLOOKUP($N164,데이터입력!$A:$H,6,FALSE),""),"")</f>
        <v/>
      </c>
      <c r="U164" s="619" t="str">
        <f>IFERROR(IF(데이터입력!$AE$2="추경",VLOOKUP($N164,데이터입력!$A:$L,8,FALSE)+VLOOKUP($N164,데이터입력!$A:$L,9,FALSE)+VLOOKUP($N164,데이터입력!$A:$L,10,FALSE),""),"")</f>
        <v/>
      </c>
      <c r="V164" s="620" t="s">
        <v>135</v>
      </c>
      <c r="W164" s="620" t="s">
        <v>135</v>
      </c>
      <c r="X164" s="620" t="s">
        <v>135</v>
      </c>
      <c r="Y164" s="601"/>
      <c r="Z164" s="182" t="str">
        <f>데이터입력!$AB$8</f>
        <v>00</v>
      </c>
      <c r="AA164" s="185" t="str">
        <f>데이터입력!$AC$9</f>
        <v>일반사업[일반]</v>
      </c>
      <c r="AB164" s="183" t="str">
        <f>IFERROR(IF(데이터입력!$AE$2="추경",VLOOKUP($A164,#REF!,4,FALSE),""),"")</f>
        <v/>
      </c>
      <c r="AC164" s="183" t="str">
        <f>IFERROR(IF(데이터입력!$AE$2="추경",VLOOKUP($A164,#REF!,5,FALSE),""),"")</f>
        <v/>
      </c>
      <c r="AD164" s="183" t="str">
        <f>IFERROR(IF(데이터입력!$AE$2="추경",VLOOKUP($A164,#REF!,6,FALSE),""),"")</f>
        <v/>
      </c>
      <c r="AE164" s="183" t="str">
        <f>IFERROR(IF(데이터입력!$AE$2="추경",VLOOKUP($A164,#REF!,7,FALSE),""),"")</f>
        <v/>
      </c>
      <c r="AF164" s="183"/>
      <c r="AG164" s="184" t="str">
        <f>IFERROR(IF(데이터입력!$AE$2="추경",VLOOKUP($A164,#REF!,9,FALSE),""),"")</f>
        <v/>
      </c>
      <c r="AH164" s="184" t="str">
        <f>IFERROR(IF(데이터입력!$AE$2="추경",VLOOKUP($A164,#REF!,10,FALSE),""),"")</f>
        <v/>
      </c>
      <c r="AI164" s="184" t="str">
        <f>IFERROR(IF(데이터입력!$AE$2="추경",VLOOKUP($A164,#REF!,11,FALSE),""),"")</f>
        <v/>
      </c>
      <c r="AJ164" s="184" t="str">
        <f>IFERROR(IF(데이터입력!$AE$2="추경",VLOOKUP($A164,#REF!,12,FALSE),""),"")</f>
        <v/>
      </c>
      <c r="AK164" s="184" t="str">
        <f>IFERROR(IF(데이터입력!$AE$2="추경",VLOOKUP($A164,#REF!,13,FALSE),""),"")</f>
        <v/>
      </c>
    </row>
    <row r="165" spans="1:37">
      <c r="A165" s="180">
        <v>163</v>
      </c>
      <c r="B165" s="608" t="str">
        <f>IFERROR(IF(F165="06",데이터입력!$AB$8,IF(F165="07",데이터입력!$AD$8,IF(F165="05",데이터입력!$AF$8,데이터입력!$AB$8))),데이터입력!$AB$8)</f>
        <v>00</v>
      </c>
      <c r="C165" s="609" t="str">
        <f>데이터입력!$AC$9</f>
        <v>일반사업[일반]</v>
      </c>
      <c r="D165" s="610" t="str">
        <f>IFERROR(IF(AND(데이터입력!$AE$2="추경",데이터입력!$AM$2=TRUE),VLOOKUP($A165,데이터입력!$A:$H,4,FALSE),""),"")</f>
        <v/>
      </c>
      <c r="E165" s="610" t="str">
        <f>IFERROR(IF(AND(데이터입력!$AE$2="추경",데이터입력!$AM$2=TRUE),VLOOKUP($A165,데이터입력!$A:$H,2,FALSE),""),"")</f>
        <v/>
      </c>
      <c r="F165" s="610" t="str">
        <f>IFERROR(IF(AND(데이터입력!$AE$2="추경",데이터입력!$AM$2=TRUE),VLOOKUP($A165,데이터입력!$A:$H,5,FALSE),""),"")</f>
        <v/>
      </c>
      <c r="G165" s="610" t="str">
        <f>IFERROR(IF(AND(데이터입력!$AE$2="추경",데이터입력!$AM$2=TRUE),VLOOKUP($A165,데이터입력!$A:$H,6,FALSE),""),"")</f>
        <v/>
      </c>
      <c r="H165" s="611" t="str">
        <f>IFERROR(IF(AND(데이터입력!$AE$2="추경",데이터입력!$AM$2=TRUE),VLOOKUP($A165,데이터입력!$A:$L,7,FALSE),""),"")</f>
        <v/>
      </c>
      <c r="I165" s="611" t="str">
        <f>IFERROR(IF(AND(데이터입력!$AE$2="추경",데이터입력!$AM$2=TRUE),VLOOKUP($A165,데이터입력!$A:$L,8,FALSE)+VLOOKUP($A165,데이터입력!$A:$L,9,FALSE)+VLOOKUP($A165,데이터입력!$A:$L,10,FALSE),""),"")</f>
        <v/>
      </c>
      <c r="J165" s="612" t="s">
        <v>135</v>
      </c>
      <c r="K165" s="612" t="s">
        <v>135</v>
      </c>
      <c r="L165" s="612" t="s">
        <v>135</v>
      </c>
      <c r="M165" s="604"/>
      <c r="N165" s="180">
        <v>363</v>
      </c>
      <c r="O165" s="616" t="str">
        <f>IFERROR(IF(S165="06",데이터입력!$AB$8,IF(S165="07",데이터입력!$AD$8,IF(S165="05",데이터입력!$AF$8,데이터입력!$AB$8))),데이터입력!$AB$8)</f>
        <v>00</v>
      </c>
      <c r="P165" s="617" t="str">
        <f>데이터입력!$AC$9</f>
        <v>일반사업[일반]</v>
      </c>
      <c r="Q165" s="618" t="str">
        <f>IFERROR(IF(데이터입력!$AE$2="추경",VLOOKUP($N165,데이터입력!$A:$H,4,FALSE),""),"")</f>
        <v/>
      </c>
      <c r="R165" s="618" t="str">
        <f>IFERROR(IF(데이터입력!$AE$2="추경",VLOOKUP($N165,데이터입력!$A:$H,2,FALSE),""),"")</f>
        <v/>
      </c>
      <c r="S165" s="618" t="str">
        <f>IFERROR(IF(데이터입력!$AE$2="추경",VLOOKUP($N165,데이터입력!$A:$H,5,FALSE),""),"")</f>
        <v/>
      </c>
      <c r="T165" s="618" t="str">
        <f>IFERROR(IF(데이터입력!$AE$2="추경",VLOOKUP($N165,데이터입력!$A:$H,6,FALSE),""),"")</f>
        <v/>
      </c>
      <c r="U165" s="619" t="str">
        <f>IFERROR(IF(데이터입력!$AE$2="추경",VLOOKUP($N165,데이터입력!$A:$L,8,FALSE)+VLOOKUP($N165,데이터입력!$A:$L,9,FALSE)+VLOOKUP($N165,데이터입력!$A:$L,10,FALSE),""),"")</f>
        <v/>
      </c>
      <c r="V165" s="620" t="s">
        <v>135</v>
      </c>
      <c r="W165" s="620" t="s">
        <v>135</v>
      </c>
      <c r="X165" s="620" t="s">
        <v>135</v>
      </c>
      <c r="Y165" s="601"/>
      <c r="Z165" s="182" t="str">
        <f>데이터입력!$AB$8</f>
        <v>00</v>
      </c>
      <c r="AA165" s="185" t="str">
        <f>데이터입력!$AC$9</f>
        <v>일반사업[일반]</v>
      </c>
      <c r="AB165" s="183" t="str">
        <f>IFERROR(IF(데이터입력!$AE$2="추경",VLOOKUP($A165,#REF!,4,FALSE),""),"")</f>
        <v/>
      </c>
      <c r="AC165" s="183" t="str">
        <f>IFERROR(IF(데이터입력!$AE$2="추경",VLOOKUP($A165,#REF!,5,FALSE),""),"")</f>
        <v/>
      </c>
      <c r="AD165" s="183" t="str">
        <f>IFERROR(IF(데이터입력!$AE$2="추경",VLOOKUP($A165,#REF!,6,FALSE),""),"")</f>
        <v/>
      </c>
      <c r="AE165" s="183" t="str">
        <f>IFERROR(IF(데이터입력!$AE$2="추경",VLOOKUP($A165,#REF!,7,FALSE),""),"")</f>
        <v/>
      </c>
      <c r="AF165" s="183"/>
      <c r="AG165" s="184" t="str">
        <f>IFERROR(IF(데이터입력!$AE$2="추경",VLOOKUP($A165,#REF!,9,FALSE),""),"")</f>
        <v/>
      </c>
      <c r="AH165" s="184" t="str">
        <f>IFERROR(IF(데이터입력!$AE$2="추경",VLOOKUP($A165,#REF!,10,FALSE),""),"")</f>
        <v/>
      </c>
      <c r="AI165" s="184" t="str">
        <f>IFERROR(IF(데이터입력!$AE$2="추경",VLOOKUP($A165,#REF!,11,FALSE),""),"")</f>
        <v/>
      </c>
      <c r="AJ165" s="184" t="str">
        <f>IFERROR(IF(데이터입력!$AE$2="추경",VLOOKUP($A165,#REF!,12,FALSE),""),"")</f>
        <v/>
      </c>
      <c r="AK165" s="184" t="str">
        <f>IFERROR(IF(데이터입력!$AE$2="추경",VLOOKUP($A165,#REF!,13,FALSE),""),"")</f>
        <v/>
      </c>
    </row>
    <row r="166" spans="1:37">
      <c r="A166" s="180">
        <v>164</v>
      </c>
      <c r="B166" s="608" t="str">
        <f>IFERROR(IF(F166="06",데이터입력!$AB$8,IF(F166="07",데이터입력!$AD$8,IF(F166="05",데이터입력!$AF$8,데이터입력!$AB$8))),데이터입력!$AB$8)</f>
        <v>00</v>
      </c>
      <c r="C166" s="609" t="str">
        <f>데이터입력!$AC$9</f>
        <v>일반사업[일반]</v>
      </c>
      <c r="D166" s="610" t="str">
        <f>IFERROR(IF(AND(데이터입력!$AE$2="추경",데이터입력!$AM$2=TRUE),VLOOKUP($A166,데이터입력!$A:$H,4,FALSE),""),"")</f>
        <v/>
      </c>
      <c r="E166" s="610" t="str">
        <f>IFERROR(IF(AND(데이터입력!$AE$2="추경",데이터입력!$AM$2=TRUE),VLOOKUP($A166,데이터입력!$A:$H,2,FALSE),""),"")</f>
        <v/>
      </c>
      <c r="F166" s="610" t="str">
        <f>IFERROR(IF(AND(데이터입력!$AE$2="추경",데이터입력!$AM$2=TRUE),VLOOKUP($A166,데이터입력!$A:$H,5,FALSE),""),"")</f>
        <v/>
      </c>
      <c r="G166" s="610" t="str">
        <f>IFERROR(IF(AND(데이터입력!$AE$2="추경",데이터입력!$AM$2=TRUE),VLOOKUP($A166,데이터입력!$A:$H,6,FALSE),""),"")</f>
        <v/>
      </c>
      <c r="H166" s="611" t="str">
        <f>IFERROR(IF(AND(데이터입력!$AE$2="추경",데이터입력!$AM$2=TRUE),VLOOKUP($A166,데이터입력!$A:$L,7,FALSE),""),"")</f>
        <v/>
      </c>
      <c r="I166" s="611" t="str">
        <f>IFERROR(IF(AND(데이터입력!$AE$2="추경",데이터입력!$AM$2=TRUE),VLOOKUP($A166,데이터입력!$A:$L,8,FALSE)+VLOOKUP($A166,데이터입력!$A:$L,9,FALSE)+VLOOKUP($A166,데이터입력!$A:$L,10,FALSE),""),"")</f>
        <v/>
      </c>
      <c r="J166" s="612" t="s">
        <v>135</v>
      </c>
      <c r="K166" s="612" t="s">
        <v>135</v>
      </c>
      <c r="L166" s="612" t="s">
        <v>135</v>
      </c>
      <c r="M166" s="604"/>
      <c r="N166" s="180">
        <v>364</v>
      </c>
      <c r="O166" s="616" t="str">
        <f>IFERROR(IF(S166="06",데이터입력!$AB$8,IF(S166="07",데이터입력!$AD$8,IF(S166="05",데이터입력!$AF$8,데이터입력!$AB$8))),데이터입력!$AB$8)</f>
        <v>00</v>
      </c>
      <c r="P166" s="617" t="str">
        <f>데이터입력!$AC$9</f>
        <v>일반사업[일반]</v>
      </c>
      <c r="Q166" s="618" t="str">
        <f>IFERROR(IF(데이터입력!$AE$2="추경",VLOOKUP($N166,데이터입력!$A:$H,4,FALSE),""),"")</f>
        <v/>
      </c>
      <c r="R166" s="618" t="str">
        <f>IFERROR(IF(데이터입력!$AE$2="추경",VLOOKUP($N166,데이터입력!$A:$H,2,FALSE),""),"")</f>
        <v/>
      </c>
      <c r="S166" s="618" t="str">
        <f>IFERROR(IF(데이터입력!$AE$2="추경",VLOOKUP($N166,데이터입력!$A:$H,5,FALSE),""),"")</f>
        <v/>
      </c>
      <c r="T166" s="618" t="str">
        <f>IFERROR(IF(데이터입력!$AE$2="추경",VLOOKUP($N166,데이터입력!$A:$H,6,FALSE),""),"")</f>
        <v/>
      </c>
      <c r="U166" s="619" t="str">
        <f>IFERROR(IF(데이터입력!$AE$2="추경",VLOOKUP($N166,데이터입력!$A:$L,8,FALSE)+VLOOKUP($N166,데이터입력!$A:$L,9,FALSE)+VLOOKUP($N166,데이터입력!$A:$L,10,FALSE),""),"")</f>
        <v/>
      </c>
      <c r="V166" s="620" t="s">
        <v>135</v>
      </c>
      <c r="W166" s="620" t="s">
        <v>135</v>
      </c>
      <c r="X166" s="620" t="s">
        <v>135</v>
      </c>
      <c r="Y166" s="601"/>
      <c r="Z166" s="182" t="str">
        <f>데이터입력!$AB$8</f>
        <v>00</v>
      </c>
      <c r="AA166" s="185" t="str">
        <f>데이터입력!$AC$9</f>
        <v>일반사업[일반]</v>
      </c>
      <c r="AB166" s="183" t="str">
        <f>IFERROR(IF(데이터입력!$AE$2="추경",VLOOKUP($A166,#REF!,4,FALSE),""),"")</f>
        <v/>
      </c>
      <c r="AC166" s="183" t="str">
        <f>IFERROR(IF(데이터입력!$AE$2="추경",VLOOKUP($A166,#REF!,5,FALSE),""),"")</f>
        <v/>
      </c>
      <c r="AD166" s="183" t="str">
        <f>IFERROR(IF(데이터입력!$AE$2="추경",VLOOKUP($A166,#REF!,6,FALSE),""),"")</f>
        <v/>
      </c>
      <c r="AE166" s="183" t="str">
        <f>IFERROR(IF(데이터입력!$AE$2="추경",VLOOKUP($A166,#REF!,7,FALSE),""),"")</f>
        <v/>
      </c>
      <c r="AF166" s="183"/>
      <c r="AG166" s="184" t="str">
        <f>IFERROR(IF(데이터입력!$AE$2="추경",VLOOKUP($A166,#REF!,9,FALSE),""),"")</f>
        <v/>
      </c>
      <c r="AH166" s="184" t="str">
        <f>IFERROR(IF(데이터입력!$AE$2="추경",VLOOKUP($A166,#REF!,10,FALSE),""),"")</f>
        <v/>
      </c>
      <c r="AI166" s="184" t="str">
        <f>IFERROR(IF(데이터입력!$AE$2="추경",VLOOKUP($A166,#REF!,11,FALSE),""),"")</f>
        <v/>
      </c>
      <c r="AJ166" s="184" t="str">
        <f>IFERROR(IF(데이터입력!$AE$2="추경",VLOOKUP($A166,#REF!,12,FALSE),""),"")</f>
        <v/>
      </c>
      <c r="AK166" s="184" t="str">
        <f>IFERROR(IF(데이터입력!$AE$2="추경",VLOOKUP($A166,#REF!,13,FALSE),""),"")</f>
        <v/>
      </c>
    </row>
    <row r="167" spans="1:37">
      <c r="A167" s="180">
        <v>165</v>
      </c>
      <c r="B167" s="608" t="str">
        <f>IFERROR(IF(F167="06",데이터입력!$AB$8,IF(F167="07",데이터입력!$AD$8,IF(F167="05",데이터입력!$AF$8,데이터입력!$AB$8))),데이터입력!$AB$8)</f>
        <v>00</v>
      </c>
      <c r="C167" s="609" t="str">
        <f>데이터입력!$AC$9</f>
        <v>일반사업[일반]</v>
      </c>
      <c r="D167" s="610" t="str">
        <f>IFERROR(IF(AND(데이터입력!$AE$2="추경",데이터입력!$AM$2=TRUE),VLOOKUP($A167,데이터입력!$A:$H,4,FALSE),""),"")</f>
        <v/>
      </c>
      <c r="E167" s="610" t="str">
        <f>IFERROR(IF(AND(데이터입력!$AE$2="추경",데이터입력!$AM$2=TRUE),VLOOKUP($A167,데이터입력!$A:$H,2,FALSE),""),"")</f>
        <v/>
      </c>
      <c r="F167" s="610" t="str">
        <f>IFERROR(IF(AND(데이터입력!$AE$2="추경",데이터입력!$AM$2=TRUE),VLOOKUP($A167,데이터입력!$A:$H,5,FALSE),""),"")</f>
        <v/>
      </c>
      <c r="G167" s="610" t="str">
        <f>IFERROR(IF(AND(데이터입력!$AE$2="추경",데이터입력!$AM$2=TRUE),VLOOKUP($A167,데이터입력!$A:$H,6,FALSE),""),"")</f>
        <v/>
      </c>
      <c r="H167" s="611" t="str">
        <f>IFERROR(IF(AND(데이터입력!$AE$2="추경",데이터입력!$AM$2=TRUE),VLOOKUP($A167,데이터입력!$A:$L,7,FALSE),""),"")</f>
        <v/>
      </c>
      <c r="I167" s="611" t="str">
        <f>IFERROR(IF(AND(데이터입력!$AE$2="추경",데이터입력!$AM$2=TRUE),VLOOKUP($A167,데이터입력!$A:$L,8,FALSE)+VLOOKUP($A167,데이터입력!$A:$L,9,FALSE)+VLOOKUP($A167,데이터입력!$A:$L,10,FALSE),""),"")</f>
        <v/>
      </c>
      <c r="J167" s="612" t="s">
        <v>135</v>
      </c>
      <c r="K167" s="612" t="s">
        <v>135</v>
      </c>
      <c r="L167" s="612" t="s">
        <v>135</v>
      </c>
      <c r="M167" s="604"/>
      <c r="N167" s="180">
        <v>365</v>
      </c>
      <c r="O167" s="616" t="str">
        <f>IFERROR(IF(S167="06",데이터입력!$AB$8,IF(S167="07",데이터입력!$AD$8,IF(S167="05",데이터입력!$AF$8,데이터입력!$AB$8))),데이터입력!$AB$8)</f>
        <v>00</v>
      </c>
      <c r="P167" s="617" t="str">
        <f>데이터입력!$AC$9</f>
        <v>일반사업[일반]</v>
      </c>
      <c r="Q167" s="618" t="str">
        <f>IFERROR(IF(데이터입력!$AE$2="추경",VLOOKUP($N167,데이터입력!$A:$H,4,FALSE),""),"")</f>
        <v/>
      </c>
      <c r="R167" s="618" t="str">
        <f>IFERROR(IF(데이터입력!$AE$2="추경",VLOOKUP($N167,데이터입력!$A:$H,2,FALSE),""),"")</f>
        <v/>
      </c>
      <c r="S167" s="618" t="str">
        <f>IFERROR(IF(데이터입력!$AE$2="추경",VLOOKUP($N167,데이터입력!$A:$H,5,FALSE),""),"")</f>
        <v/>
      </c>
      <c r="T167" s="618" t="str">
        <f>IFERROR(IF(데이터입력!$AE$2="추경",VLOOKUP($N167,데이터입력!$A:$H,6,FALSE),""),"")</f>
        <v/>
      </c>
      <c r="U167" s="619" t="str">
        <f>IFERROR(IF(데이터입력!$AE$2="추경",VLOOKUP($N167,데이터입력!$A:$L,8,FALSE)+VLOOKUP($N167,데이터입력!$A:$L,9,FALSE)+VLOOKUP($N167,데이터입력!$A:$L,10,FALSE),""),"")</f>
        <v/>
      </c>
      <c r="V167" s="620" t="s">
        <v>135</v>
      </c>
      <c r="W167" s="620" t="s">
        <v>135</v>
      </c>
      <c r="X167" s="620" t="s">
        <v>135</v>
      </c>
      <c r="Y167" s="601"/>
      <c r="Z167" s="182" t="str">
        <f>데이터입력!$AB$8</f>
        <v>00</v>
      </c>
      <c r="AA167" s="185" t="str">
        <f>데이터입력!$AC$9</f>
        <v>일반사업[일반]</v>
      </c>
      <c r="AB167" s="183" t="str">
        <f>IFERROR(IF(데이터입력!$AE$2="추경",VLOOKUP($A167,#REF!,4,FALSE),""),"")</f>
        <v/>
      </c>
      <c r="AC167" s="183" t="str">
        <f>IFERROR(IF(데이터입력!$AE$2="추경",VLOOKUP($A167,#REF!,5,FALSE),""),"")</f>
        <v/>
      </c>
      <c r="AD167" s="183" t="str">
        <f>IFERROR(IF(데이터입력!$AE$2="추경",VLOOKUP($A167,#REF!,6,FALSE),""),"")</f>
        <v/>
      </c>
      <c r="AE167" s="183" t="str">
        <f>IFERROR(IF(데이터입력!$AE$2="추경",VLOOKUP($A167,#REF!,7,FALSE),""),"")</f>
        <v/>
      </c>
      <c r="AF167" s="183"/>
      <c r="AG167" s="184" t="str">
        <f>IFERROR(IF(데이터입력!$AE$2="추경",VLOOKUP($A167,#REF!,9,FALSE),""),"")</f>
        <v/>
      </c>
      <c r="AH167" s="184" t="str">
        <f>IFERROR(IF(데이터입력!$AE$2="추경",VLOOKUP($A167,#REF!,10,FALSE),""),"")</f>
        <v/>
      </c>
      <c r="AI167" s="184" t="str">
        <f>IFERROR(IF(데이터입력!$AE$2="추경",VLOOKUP($A167,#REF!,11,FALSE),""),"")</f>
        <v/>
      </c>
      <c r="AJ167" s="184" t="str">
        <f>IFERROR(IF(데이터입력!$AE$2="추경",VLOOKUP($A167,#REF!,12,FALSE),""),"")</f>
        <v/>
      </c>
      <c r="AK167" s="184" t="str">
        <f>IFERROR(IF(데이터입력!$AE$2="추경",VLOOKUP($A167,#REF!,13,FALSE),""),"")</f>
        <v/>
      </c>
    </row>
    <row r="168" spans="1:37">
      <c r="A168" s="180">
        <v>166</v>
      </c>
      <c r="B168" s="608" t="str">
        <f>IFERROR(IF(F168="06",데이터입력!$AB$8,IF(F168="07",데이터입력!$AD$8,IF(F168="05",데이터입력!$AF$8,데이터입력!$AB$8))),데이터입력!$AB$8)</f>
        <v>00</v>
      </c>
      <c r="C168" s="609" t="str">
        <f>데이터입력!$AC$9</f>
        <v>일반사업[일반]</v>
      </c>
      <c r="D168" s="610" t="str">
        <f>IFERROR(IF(AND(데이터입력!$AE$2="추경",데이터입력!$AM$2=TRUE),VLOOKUP($A168,데이터입력!$A:$H,4,FALSE),""),"")</f>
        <v/>
      </c>
      <c r="E168" s="610" t="str">
        <f>IFERROR(IF(AND(데이터입력!$AE$2="추경",데이터입력!$AM$2=TRUE),VLOOKUP($A168,데이터입력!$A:$H,2,FALSE),""),"")</f>
        <v/>
      </c>
      <c r="F168" s="610" t="str">
        <f>IFERROR(IF(AND(데이터입력!$AE$2="추경",데이터입력!$AM$2=TRUE),VLOOKUP($A168,데이터입력!$A:$H,5,FALSE),""),"")</f>
        <v/>
      </c>
      <c r="G168" s="610" t="str">
        <f>IFERROR(IF(AND(데이터입력!$AE$2="추경",데이터입력!$AM$2=TRUE),VLOOKUP($A168,데이터입력!$A:$H,6,FALSE),""),"")</f>
        <v/>
      </c>
      <c r="H168" s="611" t="str">
        <f>IFERROR(IF(AND(데이터입력!$AE$2="추경",데이터입력!$AM$2=TRUE),VLOOKUP($A168,데이터입력!$A:$L,7,FALSE),""),"")</f>
        <v/>
      </c>
      <c r="I168" s="611" t="str">
        <f>IFERROR(IF(AND(데이터입력!$AE$2="추경",데이터입력!$AM$2=TRUE),VLOOKUP($A168,데이터입력!$A:$L,8,FALSE)+VLOOKUP($A168,데이터입력!$A:$L,9,FALSE)+VLOOKUP($A168,데이터입력!$A:$L,10,FALSE),""),"")</f>
        <v/>
      </c>
      <c r="J168" s="612" t="s">
        <v>135</v>
      </c>
      <c r="K168" s="612" t="s">
        <v>135</v>
      </c>
      <c r="L168" s="612" t="s">
        <v>135</v>
      </c>
      <c r="M168" s="604"/>
      <c r="N168" s="180">
        <v>366</v>
      </c>
      <c r="O168" s="616" t="str">
        <f>IFERROR(IF(S168="06",데이터입력!$AB$8,IF(S168="07",데이터입력!$AD$8,IF(S168="05",데이터입력!$AF$8,데이터입력!$AB$8))),데이터입력!$AB$8)</f>
        <v>00</v>
      </c>
      <c r="P168" s="617" t="str">
        <f>데이터입력!$AC$9</f>
        <v>일반사업[일반]</v>
      </c>
      <c r="Q168" s="618" t="str">
        <f>IFERROR(IF(데이터입력!$AE$2="추경",VLOOKUP($N168,데이터입력!$A:$H,4,FALSE),""),"")</f>
        <v/>
      </c>
      <c r="R168" s="618" t="str">
        <f>IFERROR(IF(데이터입력!$AE$2="추경",VLOOKUP($N168,데이터입력!$A:$H,2,FALSE),""),"")</f>
        <v/>
      </c>
      <c r="S168" s="618" t="str">
        <f>IFERROR(IF(데이터입력!$AE$2="추경",VLOOKUP($N168,데이터입력!$A:$H,5,FALSE),""),"")</f>
        <v/>
      </c>
      <c r="T168" s="618" t="str">
        <f>IFERROR(IF(데이터입력!$AE$2="추경",VLOOKUP($N168,데이터입력!$A:$H,6,FALSE),""),"")</f>
        <v/>
      </c>
      <c r="U168" s="619" t="str">
        <f>IFERROR(IF(데이터입력!$AE$2="추경",VLOOKUP($N168,데이터입력!$A:$L,8,FALSE)+VLOOKUP($N168,데이터입력!$A:$L,9,FALSE)+VLOOKUP($N168,데이터입력!$A:$L,10,FALSE),""),"")</f>
        <v/>
      </c>
      <c r="V168" s="620" t="s">
        <v>135</v>
      </c>
      <c r="W168" s="620" t="s">
        <v>135</v>
      </c>
      <c r="X168" s="620" t="s">
        <v>135</v>
      </c>
      <c r="Y168" s="601"/>
      <c r="Z168" s="182" t="str">
        <f>데이터입력!$AB$8</f>
        <v>00</v>
      </c>
      <c r="AA168" s="185" t="str">
        <f>데이터입력!$AC$9</f>
        <v>일반사업[일반]</v>
      </c>
      <c r="AB168" s="183" t="str">
        <f>IFERROR(IF(데이터입력!$AE$2="추경",VLOOKUP($A168,#REF!,4,FALSE),""),"")</f>
        <v/>
      </c>
      <c r="AC168" s="183" t="str">
        <f>IFERROR(IF(데이터입력!$AE$2="추경",VLOOKUP($A168,#REF!,5,FALSE),""),"")</f>
        <v/>
      </c>
      <c r="AD168" s="183" t="str">
        <f>IFERROR(IF(데이터입력!$AE$2="추경",VLOOKUP($A168,#REF!,6,FALSE),""),"")</f>
        <v/>
      </c>
      <c r="AE168" s="183" t="str">
        <f>IFERROR(IF(데이터입력!$AE$2="추경",VLOOKUP($A168,#REF!,7,FALSE),""),"")</f>
        <v/>
      </c>
      <c r="AF168" s="183"/>
      <c r="AG168" s="184" t="str">
        <f>IFERROR(IF(데이터입력!$AE$2="추경",VLOOKUP($A168,#REF!,9,FALSE),""),"")</f>
        <v/>
      </c>
      <c r="AH168" s="184" t="str">
        <f>IFERROR(IF(데이터입력!$AE$2="추경",VLOOKUP($A168,#REF!,10,FALSE),""),"")</f>
        <v/>
      </c>
      <c r="AI168" s="184" t="str">
        <f>IFERROR(IF(데이터입력!$AE$2="추경",VLOOKUP($A168,#REF!,11,FALSE),""),"")</f>
        <v/>
      </c>
      <c r="AJ168" s="184" t="str">
        <f>IFERROR(IF(데이터입력!$AE$2="추경",VLOOKUP($A168,#REF!,12,FALSE),""),"")</f>
        <v/>
      </c>
      <c r="AK168" s="184" t="str">
        <f>IFERROR(IF(데이터입력!$AE$2="추경",VLOOKUP($A168,#REF!,13,FALSE),""),"")</f>
        <v/>
      </c>
    </row>
    <row r="169" spans="1:37">
      <c r="A169" s="180">
        <v>167</v>
      </c>
      <c r="B169" s="608" t="str">
        <f>IFERROR(IF(F169="06",데이터입력!$AB$8,IF(F169="07",데이터입력!$AD$8,IF(F169="05",데이터입력!$AF$8,데이터입력!$AB$8))),데이터입력!$AB$8)</f>
        <v>00</v>
      </c>
      <c r="C169" s="609" t="str">
        <f>데이터입력!$AC$9</f>
        <v>일반사업[일반]</v>
      </c>
      <c r="D169" s="610" t="str">
        <f>IFERROR(IF(AND(데이터입력!$AE$2="추경",데이터입력!$AM$2=TRUE),VLOOKUP($A169,데이터입력!$A:$H,4,FALSE),""),"")</f>
        <v/>
      </c>
      <c r="E169" s="610" t="str">
        <f>IFERROR(IF(AND(데이터입력!$AE$2="추경",데이터입력!$AM$2=TRUE),VLOOKUP($A169,데이터입력!$A:$H,2,FALSE),""),"")</f>
        <v/>
      </c>
      <c r="F169" s="610" t="str">
        <f>IFERROR(IF(AND(데이터입력!$AE$2="추경",데이터입력!$AM$2=TRUE),VLOOKUP($A169,데이터입력!$A:$H,5,FALSE),""),"")</f>
        <v/>
      </c>
      <c r="G169" s="610" t="str">
        <f>IFERROR(IF(AND(데이터입력!$AE$2="추경",데이터입력!$AM$2=TRUE),VLOOKUP($A169,데이터입력!$A:$H,6,FALSE),""),"")</f>
        <v/>
      </c>
      <c r="H169" s="611" t="str">
        <f>IFERROR(IF(AND(데이터입력!$AE$2="추경",데이터입력!$AM$2=TRUE),VLOOKUP($A169,데이터입력!$A:$L,7,FALSE),""),"")</f>
        <v/>
      </c>
      <c r="I169" s="611" t="str">
        <f>IFERROR(IF(AND(데이터입력!$AE$2="추경",데이터입력!$AM$2=TRUE),VLOOKUP($A169,데이터입력!$A:$L,8,FALSE)+VLOOKUP($A169,데이터입력!$A:$L,9,FALSE)+VLOOKUP($A169,데이터입력!$A:$L,10,FALSE),""),"")</f>
        <v/>
      </c>
      <c r="J169" s="612" t="s">
        <v>135</v>
      </c>
      <c r="K169" s="612" t="s">
        <v>135</v>
      </c>
      <c r="L169" s="612" t="s">
        <v>135</v>
      </c>
      <c r="M169" s="604"/>
      <c r="N169" s="180">
        <v>367</v>
      </c>
      <c r="O169" s="616" t="str">
        <f>IFERROR(IF(S169="06",데이터입력!$AB$8,IF(S169="07",데이터입력!$AD$8,IF(S169="05",데이터입력!$AF$8,데이터입력!$AB$8))),데이터입력!$AB$8)</f>
        <v>00</v>
      </c>
      <c r="P169" s="617" t="str">
        <f>데이터입력!$AC$9</f>
        <v>일반사업[일반]</v>
      </c>
      <c r="Q169" s="618" t="str">
        <f>IFERROR(IF(데이터입력!$AE$2="추경",VLOOKUP($N169,데이터입력!$A:$H,4,FALSE),""),"")</f>
        <v/>
      </c>
      <c r="R169" s="618" t="str">
        <f>IFERROR(IF(데이터입력!$AE$2="추경",VLOOKUP($N169,데이터입력!$A:$H,2,FALSE),""),"")</f>
        <v/>
      </c>
      <c r="S169" s="618" t="str">
        <f>IFERROR(IF(데이터입력!$AE$2="추경",VLOOKUP($N169,데이터입력!$A:$H,5,FALSE),""),"")</f>
        <v/>
      </c>
      <c r="T169" s="618" t="str">
        <f>IFERROR(IF(데이터입력!$AE$2="추경",VLOOKUP($N169,데이터입력!$A:$H,6,FALSE),""),"")</f>
        <v/>
      </c>
      <c r="U169" s="619" t="str">
        <f>IFERROR(IF(데이터입력!$AE$2="추경",VLOOKUP($N169,데이터입력!$A:$L,8,FALSE)+VLOOKUP($N169,데이터입력!$A:$L,9,FALSE)+VLOOKUP($N169,데이터입력!$A:$L,10,FALSE),""),"")</f>
        <v/>
      </c>
      <c r="V169" s="620" t="s">
        <v>135</v>
      </c>
      <c r="W169" s="620" t="s">
        <v>135</v>
      </c>
      <c r="X169" s="620" t="s">
        <v>135</v>
      </c>
      <c r="Y169" s="601"/>
      <c r="Z169" s="182" t="str">
        <f>데이터입력!$AB$8</f>
        <v>00</v>
      </c>
      <c r="AA169" s="185" t="str">
        <f>데이터입력!$AC$9</f>
        <v>일반사업[일반]</v>
      </c>
      <c r="AB169" s="183" t="str">
        <f>IFERROR(IF(데이터입력!$AE$2="추경",VLOOKUP($A169,#REF!,4,FALSE),""),"")</f>
        <v/>
      </c>
      <c r="AC169" s="183" t="str">
        <f>IFERROR(IF(데이터입력!$AE$2="추경",VLOOKUP($A169,#REF!,5,FALSE),""),"")</f>
        <v/>
      </c>
      <c r="AD169" s="183" t="str">
        <f>IFERROR(IF(데이터입력!$AE$2="추경",VLOOKUP($A169,#REF!,6,FALSE),""),"")</f>
        <v/>
      </c>
      <c r="AE169" s="183" t="str">
        <f>IFERROR(IF(데이터입력!$AE$2="추경",VLOOKUP($A169,#REF!,7,FALSE),""),"")</f>
        <v/>
      </c>
      <c r="AF169" s="183"/>
      <c r="AG169" s="184" t="str">
        <f>IFERROR(IF(데이터입력!$AE$2="추경",VLOOKUP($A169,#REF!,9,FALSE),""),"")</f>
        <v/>
      </c>
      <c r="AH169" s="184" t="str">
        <f>IFERROR(IF(데이터입력!$AE$2="추경",VLOOKUP($A169,#REF!,10,FALSE),""),"")</f>
        <v/>
      </c>
      <c r="AI169" s="184" t="str">
        <f>IFERROR(IF(데이터입력!$AE$2="추경",VLOOKUP($A169,#REF!,11,FALSE),""),"")</f>
        <v/>
      </c>
      <c r="AJ169" s="184" t="str">
        <f>IFERROR(IF(데이터입력!$AE$2="추경",VLOOKUP($A169,#REF!,12,FALSE),""),"")</f>
        <v/>
      </c>
      <c r="AK169" s="184" t="str">
        <f>IFERROR(IF(데이터입력!$AE$2="추경",VLOOKUP($A169,#REF!,13,FALSE),""),"")</f>
        <v/>
      </c>
    </row>
    <row r="170" spans="1:37">
      <c r="A170" s="180">
        <v>168</v>
      </c>
      <c r="B170" s="608" t="str">
        <f>IFERROR(IF(F170="06",데이터입력!$AB$8,IF(F170="07",데이터입력!$AD$8,IF(F170="05",데이터입력!$AF$8,데이터입력!$AB$8))),데이터입력!$AB$8)</f>
        <v>00</v>
      </c>
      <c r="C170" s="609" t="str">
        <f>데이터입력!$AC$9</f>
        <v>일반사업[일반]</v>
      </c>
      <c r="D170" s="610" t="str">
        <f>IFERROR(IF(AND(데이터입력!$AE$2="추경",데이터입력!$AM$2=TRUE),VLOOKUP($A170,데이터입력!$A:$H,4,FALSE),""),"")</f>
        <v/>
      </c>
      <c r="E170" s="610" t="str">
        <f>IFERROR(IF(AND(데이터입력!$AE$2="추경",데이터입력!$AM$2=TRUE),VLOOKUP($A170,데이터입력!$A:$H,2,FALSE),""),"")</f>
        <v/>
      </c>
      <c r="F170" s="610" t="str">
        <f>IFERROR(IF(AND(데이터입력!$AE$2="추경",데이터입력!$AM$2=TRUE),VLOOKUP($A170,데이터입력!$A:$H,5,FALSE),""),"")</f>
        <v/>
      </c>
      <c r="G170" s="610" t="str">
        <f>IFERROR(IF(AND(데이터입력!$AE$2="추경",데이터입력!$AM$2=TRUE),VLOOKUP($A170,데이터입력!$A:$H,6,FALSE),""),"")</f>
        <v/>
      </c>
      <c r="H170" s="611" t="str">
        <f>IFERROR(IF(AND(데이터입력!$AE$2="추경",데이터입력!$AM$2=TRUE),VLOOKUP($A170,데이터입력!$A:$L,7,FALSE),""),"")</f>
        <v/>
      </c>
      <c r="I170" s="611" t="str">
        <f>IFERROR(IF(AND(데이터입력!$AE$2="추경",데이터입력!$AM$2=TRUE),VLOOKUP($A170,데이터입력!$A:$L,8,FALSE)+VLOOKUP($A170,데이터입력!$A:$L,9,FALSE)+VLOOKUP($A170,데이터입력!$A:$L,10,FALSE),""),"")</f>
        <v/>
      </c>
      <c r="J170" s="612" t="s">
        <v>135</v>
      </c>
      <c r="K170" s="612" t="s">
        <v>135</v>
      </c>
      <c r="L170" s="612" t="s">
        <v>135</v>
      </c>
      <c r="M170" s="604"/>
      <c r="N170" s="180">
        <v>368</v>
      </c>
      <c r="O170" s="616" t="str">
        <f>IFERROR(IF(S170="06",데이터입력!$AB$8,IF(S170="07",데이터입력!$AD$8,IF(S170="05",데이터입력!$AF$8,데이터입력!$AB$8))),데이터입력!$AB$8)</f>
        <v>00</v>
      </c>
      <c r="P170" s="617" t="str">
        <f>데이터입력!$AC$9</f>
        <v>일반사업[일반]</v>
      </c>
      <c r="Q170" s="618" t="str">
        <f>IFERROR(IF(데이터입력!$AE$2="추경",VLOOKUP($N170,데이터입력!$A:$H,4,FALSE),""),"")</f>
        <v/>
      </c>
      <c r="R170" s="618" t="str">
        <f>IFERROR(IF(데이터입력!$AE$2="추경",VLOOKUP($N170,데이터입력!$A:$H,2,FALSE),""),"")</f>
        <v/>
      </c>
      <c r="S170" s="618" t="str">
        <f>IFERROR(IF(데이터입력!$AE$2="추경",VLOOKUP($N170,데이터입력!$A:$H,5,FALSE),""),"")</f>
        <v/>
      </c>
      <c r="T170" s="618" t="str">
        <f>IFERROR(IF(데이터입력!$AE$2="추경",VLOOKUP($N170,데이터입력!$A:$H,6,FALSE),""),"")</f>
        <v/>
      </c>
      <c r="U170" s="619" t="str">
        <f>IFERROR(IF(데이터입력!$AE$2="추경",VLOOKUP($N170,데이터입력!$A:$L,8,FALSE)+VLOOKUP($N170,데이터입력!$A:$L,9,FALSE)+VLOOKUP($N170,데이터입력!$A:$L,10,FALSE),""),"")</f>
        <v/>
      </c>
      <c r="V170" s="620" t="s">
        <v>135</v>
      </c>
      <c r="W170" s="620" t="s">
        <v>135</v>
      </c>
      <c r="X170" s="620" t="s">
        <v>135</v>
      </c>
      <c r="Y170" s="601"/>
      <c r="Z170" s="182" t="str">
        <f>데이터입력!$AB$8</f>
        <v>00</v>
      </c>
      <c r="AA170" s="185" t="str">
        <f>데이터입력!$AC$9</f>
        <v>일반사업[일반]</v>
      </c>
      <c r="AB170" s="183" t="str">
        <f>IFERROR(IF(데이터입력!$AE$2="추경",VLOOKUP($A170,#REF!,4,FALSE),""),"")</f>
        <v/>
      </c>
      <c r="AC170" s="183" t="str">
        <f>IFERROR(IF(데이터입력!$AE$2="추경",VLOOKUP($A170,#REF!,5,FALSE),""),"")</f>
        <v/>
      </c>
      <c r="AD170" s="183" t="str">
        <f>IFERROR(IF(데이터입력!$AE$2="추경",VLOOKUP($A170,#REF!,6,FALSE),""),"")</f>
        <v/>
      </c>
      <c r="AE170" s="183" t="str">
        <f>IFERROR(IF(데이터입력!$AE$2="추경",VLOOKUP($A170,#REF!,7,FALSE),""),"")</f>
        <v/>
      </c>
      <c r="AF170" s="183"/>
      <c r="AG170" s="184" t="str">
        <f>IFERROR(IF(데이터입력!$AE$2="추경",VLOOKUP($A170,#REF!,9,FALSE),""),"")</f>
        <v/>
      </c>
      <c r="AH170" s="184" t="str">
        <f>IFERROR(IF(데이터입력!$AE$2="추경",VLOOKUP($A170,#REF!,10,FALSE),""),"")</f>
        <v/>
      </c>
      <c r="AI170" s="184" t="str">
        <f>IFERROR(IF(데이터입력!$AE$2="추경",VLOOKUP($A170,#REF!,11,FALSE),""),"")</f>
        <v/>
      </c>
      <c r="AJ170" s="184" t="str">
        <f>IFERROR(IF(데이터입력!$AE$2="추경",VLOOKUP($A170,#REF!,12,FALSE),""),"")</f>
        <v/>
      </c>
      <c r="AK170" s="184" t="str">
        <f>IFERROR(IF(데이터입력!$AE$2="추경",VLOOKUP($A170,#REF!,13,FALSE),""),"")</f>
        <v/>
      </c>
    </row>
    <row r="171" spans="1:37">
      <c r="A171" s="180">
        <v>169</v>
      </c>
      <c r="B171" s="608" t="str">
        <f>IFERROR(IF(F171="06",데이터입력!$AB$8,IF(F171="07",데이터입력!$AD$8,IF(F171="05",데이터입력!$AF$8,데이터입력!$AB$8))),데이터입력!$AB$8)</f>
        <v>00</v>
      </c>
      <c r="C171" s="609" t="str">
        <f>데이터입력!$AC$9</f>
        <v>일반사업[일반]</v>
      </c>
      <c r="D171" s="610" t="str">
        <f>IFERROR(IF(AND(데이터입력!$AE$2="추경",데이터입력!$AM$2=TRUE),VLOOKUP($A171,데이터입력!$A:$H,4,FALSE),""),"")</f>
        <v/>
      </c>
      <c r="E171" s="610" t="str">
        <f>IFERROR(IF(AND(데이터입력!$AE$2="추경",데이터입력!$AM$2=TRUE),VLOOKUP($A171,데이터입력!$A:$H,2,FALSE),""),"")</f>
        <v/>
      </c>
      <c r="F171" s="610" t="str">
        <f>IFERROR(IF(AND(데이터입력!$AE$2="추경",데이터입력!$AM$2=TRUE),VLOOKUP($A171,데이터입력!$A:$H,5,FALSE),""),"")</f>
        <v/>
      </c>
      <c r="G171" s="610" t="str">
        <f>IFERROR(IF(AND(데이터입력!$AE$2="추경",데이터입력!$AM$2=TRUE),VLOOKUP($A171,데이터입력!$A:$H,6,FALSE),""),"")</f>
        <v/>
      </c>
      <c r="H171" s="611" t="str">
        <f>IFERROR(IF(AND(데이터입력!$AE$2="추경",데이터입력!$AM$2=TRUE),VLOOKUP($A171,데이터입력!$A:$L,7,FALSE),""),"")</f>
        <v/>
      </c>
      <c r="I171" s="611" t="str">
        <f>IFERROR(IF(AND(데이터입력!$AE$2="추경",데이터입력!$AM$2=TRUE),VLOOKUP($A171,데이터입력!$A:$L,8,FALSE)+VLOOKUP($A171,데이터입력!$A:$L,9,FALSE)+VLOOKUP($A171,데이터입력!$A:$L,10,FALSE),""),"")</f>
        <v/>
      </c>
      <c r="J171" s="612" t="s">
        <v>135</v>
      </c>
      <c r="K171" s="612" t="s">
        <v>135</v>
      </c>
      <c r="L171" s="612" t="s">
        <v>135</v>
      </c>
      <c r="M171" s="604"/>
      <c r="N171" s="180">
        <v>369</v>
      </c>
      <c r="O171" s="616" t="str">
        <f>IFERROR(IF(S171="06",데이터입력!$AB$8,IF(S171="07",데이터입력!$AD$8,IF(S171="05",데이터입력!$AF$8,데이터입력!$AB$8))),데이터입력!$AB$8)</f>
        <v>00</v>
      </c>
      <c r="P171" s="617" t="str">
        <f>데이터입력!$AC$9</f>
        <v>일반사업[일반]</v>
      </c>
      <c r="Q171" s="618" t="str">
        <f>IFERROR(IF(데이터입력!$AE$2="추경",VLOOKUP($N171,데이터입력!$A:$H,4,FALSE),""),"")</f>
        <v/>
      </c>
      <c r="R171" s="618" t="str">
        <f>IFERROR(IF(데이터입력!$AE$2="추경",VLOOKUP($N171,데이터입력!$A:$H,2,FALSE),""),"")</f>
        <v/>
      </c>
      <c r="S171" s="618" t="str">
        <f>IFERROR(IF(데이터입력!$AE$2="추경",VLOOKUP($N171,데이터입력!$A:$H,5,FALSE),""),"")</f>
        <v/>
      </c>
      <c r="T171" s="618" t="str">
        <f>IFERROR(IF(데이터입력!$AE$2="추경",VLOOKUP($N171,데이터입력!$A:$H,6,FALSE),""),"")</f>
        <v/>
      </c>
      <c r="U171" s="619" t="str">
        <f>IFERROR(IF(데이터입력!$AE$2="추경",VLOOKUP($N171,데이터입력!$A:$L,8,FALSE)+VLOOKUP($N171,데이터입력!$A:$L,9,FALSE)+VLOOKUP($N171,데이터입력!$A:$L,10,FALSE),""),"")</f>
        <v/>
      </c>
      <c r="V171" s="620" t="s">
        <v>135</v>
      </c>
      <c r="W171" s="620" t="s">
        <v>135</v>
      </c>
      <c r="X171" s="620" t="s">
        <v>135</v>
      </c>
      <c r="Y171" s="601"/>
      <c r="Z171" s="182" t="str">
        <f>데이터입력!$AB$8</f>
        <v>00</v>
      </c>
      <c r="AA171" s="185" t="str">
        <f>데이터입력!$AC$9</f>
        <v>일반사업[일반]</v>
      </c>
      <c r="AB171" s="183" t="str">
        <f>IFERROR(IF(데이터입력!$AE$2="추경",VLOOKUP($A171,#REF!,4,FALSE),""),"")</f>
        <v/>
      </c>
      <c r="AC171" s="183" t="str">
        <f>IFERROR(IF(데이터입력!$AE$2="추경",VLOOKUP($A171,#REF!,5,FALSE),""),"")</f>
        <v/>
      </c>
      <c r="AD171" s="183" t="str">
        <f>IFERROR(IF(데이터입력!$AE$2="추경",VLOOKUP($A171,#REF!,6,FALSE),""),"")</f>
        <v/>
      </c>
      <c r="AE171" s="183" t="str">
        <f>IFERROR(IF(데이터입력!$AE$2="추경",VLOOKUP($A171,#REF!,7,FALSE),""),"")</f>
        <v/>
      </c>
      <c r="AF171" s="183"/>
      <c r="AG171" s="184" t="str">
        <f>IFERROR(IF(데이터입력!$AE$2="추경",VLOOKUP($A171,#REF!,9,FALSE),""),"")</f>
        <v/>
      </c>
      <c r="AH171" s="184" t="str">
        <f>IFERROR(IF(데이터입력!$AE$2="추경",VLOOKUP($A171,#REF!,10,FALSE),""),"")</f>
        <v/>
      </c>
      <c r="AI171" s="184" t="str">
        <f>IFERROR(IF(데이터입력!$AE$2="추경",VLOOKUP($A171,#REF!,11,FALSE),""),"")</f>
        <v/>
      </c>
      <c r="AJ171" s="184" t="str">
        <f>IFERROR(IF(데이터입력!$AE$2="추경",VLOOKUP($A171,#REF!,12,FALSE),""),"")</f>
        <v/>
      </c>
      <c r="AK171" s="184" t="str">
        <f>IFERROR(IF(데이터입력!$AE$2="추경",VLOOKUP($A171,#REF!,13,FALSE),""),"")</f>
        <v/>
      </c>
    </row>
    <row r="172" spans="1:37">
      <c r="A172" s="180">
        <v>170</v>
      </c>
      <c r="B172" s="608" t="str">
        <f>IFERROR(IF(F172="06",데이터입력!$AB$8,IF(F172="07",데이터입력!$AD$8,IF(F172="05",데이터입력!$AF$8,데이터입력!$AB$8))),데이터입력!$AB$8)</f>
        <v>00</v>
      </c>
      <c r="C172" s="609" t="str">
        <f>데이터입력!$AC$9</f>
        <v>일반사업[일반]</v>
      </c>
      <c r="D172" s="610" t="str">
        <f>IFERROR(IF(AND(데이터입력!$AE$2="추경",데이터입력!$AM$2=TRUE),VLOOKUP($A172,데이터입력!$A:$H,4,FALSE),""),"")</f>
        <v/>
      </c>
      <c r="E172" s="610" t="str">
        <f>IFERROR(IF(AND(데이터입력!$AE$2="추경",데이터입력!$AM$2=TRUE),VLOOKUP($A172,데이터입력!$A:$H,2,FALSE),""),"")</f>
        <v/>
      </c>
      <c r="F172" s="610" t="str">
        <f>IFERROR(IF(AND(데이터입력!$AE$2="추경",데이터입력!$AM$2=TRUE),VLOOKUP($A172,데이터입력!$A:$H,5,FALSE),""),"")</f>
        <v/>
      </c>
      <c r="G172" s="610" t="str">
        <f>IFERROR(IF(AND(데이터입력!$AE$2="추경",데이터입력!$AM$2=TRUE),VLOOKUP($A172,데이터입력!$A:$H,6,FALSE),""),"")</f>
        <v/>
      </c>
      <c r="H172" s="611" t="str">
        <f>IFERROR(IF(AND(데이터입력!$AE$2="추경",데이터입력!$AM$2=TRUE),VLOOKUP($A172,데이터입력!$A:$L,7,FALSE),""),"")</f>
        <v/>
      </c>
      <c r="I172" s="611" t="str">
        <f>IFERROR(IF(AND(데이터입력!$AE$2="추경",데이터입력!$AM$2=TRUE),VLOOKUP($A172,데이터입력!$A:$L,8,FALSE)+VLOOKUP($A172,데이터입력!$A:$L,9,FALSE)+VLOOKUP($A172,데이터입력!$A:$L,10,FALSE),""),"")</f>
        <v/>
      </c>
      <c r="J172" s="612" t="s">
        <v>135</v>
      </c>
      <c r="K172" s="612" t="s">
        <v>135</v>
      </c>
      <c r="L172" s="612" t="s">
        <v>135</v>
      </c>
      <c r="M172" s="604"/>
      <c r="N172" s="180">
        <v>370</v>
      </c>
      <c r="O172" s="616" t="str">
        <f>IFERROR(IF(S172="06",데이터입력!$AB$8,IF(S172="07",데이터입력!$AD$8,IF(S172="05",데이터입력!$AF$8,데이터입력!$AB$8))),데이터입력!$AB$8)</f>
        <v>00</v>
      </c>
      <c r="P172" s="617" t="str">
        <f>데이터입력!$AC$9</f>
        <v>일반사업[일반]</v>
      </c>
      <c r="Q172" s="618" t="str">
        <f>IFERROR(IF(데이터입력!$AE$2="추경",VLOOKUP($N172,데이터입력!$A:$H,4,FALSE),""),"")</f>
        <v/>
      </c>
      <c r="R172" s="618" t="str">
        <f>IFERROR(IF(데이터입력!$AE$2="추경",VLOOKUP($N172,데이터입력!$A:$H,2,FALSE),""),"")</f>
        <v/>
      </c>
      <c r="S172" s="618" t="str">
        <f>IFERROR(IF(데이터입력!$AE$2="추경",VLOOKUP($N172,데이터입력!$A:$H,5,FALSE),""),"")</f>
        <v/>
      </c>
      <c r="T172" s="618" t="str">
        <f>IFERROR(IF(데이터입력!$AE$2="추경",VLOOKUP($N172,데이터입력!$A:$H,6,FALSE),""),"")</f>
        <v/>
      </c>
      <c r="U172" s="619" t="str">
        <f>IFERROR(IF(데이터입력!$AE$2="추경",VLOOKUP($N172,데이터입력!$A:$L,8,FALSE)+VLOOKUP($N172,데이터입력!$A:$L,9,FALSE)+VLOOKUP($N172,데이터입력!$A:$L,10,FALSE),""),"")</f>
        <v/>
      </c>
      <c r="V172" s="620" t="s">
        <v>135</v>
      </c>
      <c r="W172" s="620" t="s">
        <v>135</v>
      </c>
      <c r="X172" s="620" t="s">
        <v>135</v>
      </c>
      <c r="Y172" s="601"/>
      <c r="Z172" s="182" t="str">
        <f>데이터입력!$AB$8</f>
        <v>00</v>
      </c>
      <c r="AA172" s="185" t="str">
        <f>데이터입력!$AC$9</f>
        <v>일반사업[일반]</v>
      </c>
      <c r="AB172" s="183" t="str">
        <f>IFERROR(IF(데이터입력!$AE$2="추경",VLOOKUP($A172,#REF!,4,FALSE),""),"")</f>
        <v/>
      </c>
      <c r="AC172" s="183" t="str">
        <f>IFERROR(IF(데이터입력!$AE$2="추경",VLOOKUP($A172,#REF!,5,FALSE),""),"")</f>
        <v/>
      </c>
      <c r="AD172" s="183" t="str">
        <f>IFERROR(IF(데이터입력!$AE$2="추경",VLOOKUP($A172,#REF!,6,FALSE),""),"")</f>
        <v/>
      </c>
      <c r="AE172" s="183" t="str">
        <f>IFERROR(IF(데이터입력!$AE$2="추경",VLOOKUP($A172,#REF!,7,FALSE),""),"")</f>
        <v/>
      </c>
      <c r="AF172" s="183"/>
      <c r="AG172" s="184" t="str">
        <f>IFERROR(IF(데이터입력!$AE$2="추경",VLOOKUP($A172,#REF!,9,FALSE),""),"")</f>
        <v/>
      </c>
      <c r="AH172" s="184" t="str">
        <f>IFERROR(IF(데이터입력!$AE$2="추경",VLOOKUP($A172,#REF!,10,FALSE),""),"")</f>
        <v/>
      </c>
      <c r="AI172" s="184" t="str">
        <f>IFERROR(IF(데이터입력!$AE$2="추경",VLOOKUP($A172,#REF!,11,FALSE),""),"")</f>
        <v/>
      </c>
      <c r="AJ172" s="184" t="str">
        <f>IFERROR(IF(데이터입력!$AE$2="추경",VLOOKUP($A172,#REF!,12,FALSE),""),"")</f>
        <v/>
      </c>
      <c r="AK172" s="184" t="str">
        <f>IFERROR(IF(데이터입력!$AE$2="추경",VLOOKUP($A172,#REF!,13,FALSE),""),"")</f>
        <v/>
      </c>
    </row>
    <row r="173" spans="1:37">
      <c r="A173" s="180">
        <v>171</v>
      </c>
      <c r="B173" s="608" t="str">
        <f>IFERROR(IF(F173="06",데이터입력!$AB$8,IF(F173="07",데이터입력!$AD$8,IF(F173="05",데이터입력!$AF$8,데이터입력!$AB$8))),데이터입력!$AB$8)</f>
        <v>00</v>
      </c>
      <c r="C173" s="609" t="str">
        <f>데이터입력!$AC$9</f>
        <v>일반사업[일반]</v>
      </c>
      <c r="D173" s="610" t="str">
        <f>IFERROR(IF(AND(데이터입력!$AE$2="추경",데이터입력!$AM$2=TRUE),VLOOKUP($A173,데이터입력!$A:$H,4,FALSE),""),"")</f>
        <v/>
      </c>
      <c r="E173" s="610" t="str">
        <f>IFERROR(IF(AND(데이터입력!$AE$2="추경",데이터입력!$AM$2=TRUE),VLOOKUP($A173,데이터입력!$A:$H,2,FALSE),""),"")</f>
        <v/>
      </c>
      <c r="F173" s="610" t="str">
        <f>IFERROR(IF(AND(데이터입력!$AE$2="추경",데이터입력!$AM$2=TRUE),VLOOKUP($A173,데이터입력!$A:$H,5,FALSE),""),"")</f>
        <v/>
      </c>
      <c r="G173" s="610" t="str">
        <f>IFERROR(IF(AND(데이터입력!$AE$2="추경",데이터입력!$AM$2=TRUE),VLOOKUP($A173,데이터입력!$A:$H,6,FALSE),""),"")</f>
        <v/>
      </c>
      <c r="H173" s="611" t="str">
        <f>IFERROR(IF(AND(데이터입력!$AE$2="추경",데이터입력!$AM$2=TRUE),VLOOKUP($A173,데이터입력!$A:$L,7,FALSE),""),"")</f>
        <v/>
      </c>
      <c r="I173" s="611" t="str">
        <f>IFERROR(IF(AND(데이터입력!$AE$2="추경",데이터입력!$AM$2=TRUE),VLOOKUP($A173,데이터입력!$A:$L,8,FALSE)+VLOOKUP($A173,데이터입력!$A:$L,9,FALSE)+VLOOKUP($A173,데이터입력!$A:$L,10,FALSE),""),"")</f>
        <v/>
      </c>
      <c r="J173" s="612" t="s">
        <v>135</v>
      </c>
      <c r="K173" s="612" t="s">
        <v>135</v>
      </c>
      <c r="L173" s="612" t="s">
        <v>135</v>
      </c>
      <c r="M173" s="604"/>
      <c r="N173" s="180">
        <v>371</v>
      </c>
      <c r="O173" s="616" t="str">
        <f>IFERROR(IF(S173="06",데이터입력!$AB$8,IF(S173="07",데이터입력!$AD$8,IF(S173="05",데이터입력!$AF$8,데이터입력!$AB$8))),데이터입력!$AB$8)</f>
        <v>00</v>
      </c>
      <c r="P173" s="617" t="str">
        <f>데이터입력!$AC$9</f>
        <v>일반사업[일반]</v>
      </c>
      <c r="Q173" s="618" t="str">
        <f>IFERROR(IF(데이터입력!$AE$2="추경",VLOOKUP($N173,데이터입력!$A:$H,4,FALSE),""),"")</f>
        <v/>
      </c>
      <c r="R173" s="618" t="str">
        <f>IFERROR(IF(데이터입력!$AE$2="추경",VLOOKUP($N173,데이터입력!$A:$H,2,FALSE),""),"")</f>
        <v/>
      </c>
      <c r="S173" s="618" t="str">
        <f>IFERROR(IF(데이터입력!$AE$2="추경",VLOOKUP($N173,데이터입력!$A:$H,5,FALSE),""),"")</f>
        <v/>
      </c>
      <c r="T173" s="618" t="str">
        <f>IFERROR(IF(데이터입력!$AE$2="추경",VLOOKUP($N173,데이터입력!$A:$H,6,FALSE),""),"")</f>
        <v/>
      </c>
      <c r="U173" s="619" t="str">
        <f>IFERROR(IF(데이터입력!$AE$2="추경",VLOOKUP($N173,데이터입력!$A:$L,8,FALSE)+VLOOKUP($N173,데이터입력!$A:$L,9,FALSE)+VLOOKUP($N173,데이터입력!$A:$L,10,FALSE),""),"")</f>
        <v/>
      </c>
      <c r="V173" s="620" t="s">
        <v>135</v>
      </c>
      <c r="W173" s="620" t="s">
        <v>135</v>
      </c>
      <c r="X173" s="620" t="s">
        <v>135</v>
      </c>
      <c r="Y173" s="601"/>
      <c r="Z173" s="182" t="str">
        <f>데이터입력!$AB$8</f>
        <v>00</v>
      </c>
      <c r="AA173" s="185" t="str">
        <f>데이터입력!$AC$9</f>
        <v>일반사업[일반]</v>
      </c>
      <c r="AB173" s="183" t="str">
        <f>IFERROR(IF(데이터입력!$AE$2="추경",VLOOKUP($A173,#REF!,4,FALSE),""),"")</f>
        <v/>
      </c>
      <c r="AC173" s="183" t="str">
        <f>IFERROR(IF(데이터입력!$AE$2="추경",VLOOKUP($A173,#REF!,5,FALSE),""),"")</f>
        <v/>
      </c>
      <c r="AD173" s="183" t="str">
        <f>IFERROR(IF(데이터입력!$AE$2="추경",VLOOKUP($A173,#REF!,6,FALSE),""),"")</f>
        <v/>
      </c>
      <c r="AE173" s="183" t="str">
        <f>IFERROR(IF(데이터입력!$AE$2="추경",VLOOKUP($A173,#REF!,7,FALSE),""),"")</f>
        <v/>
      </c>
      <c r="AF173" s="183"/>
      <c r="AG173" s="184" t="str">
        <f>IFERROR(IF(데이터입력!$AE$2="추경",VLOOKUP($A173,#REF!,9,FALSE),""),"")</f>
        <v/>
      </c>
      <c r="AH173" s="184" t="str">
        <f>IFERROR(IF(데이터입력!$AE$2="추경",VLOOKUP($A173,#REF!,10,FALSE),""),"")</f>
        <v/>
      </c>
      <c r="AI173" s="184" t="str">
        <f>IFERROR(IF(데이터입력!$AE$2="추경",VLOOKUP($A173,#REF!,11,FALSE),""),"")</f>
        <v/>
      </c>
      <c r="AJ173" s="184" t="str">
        <f>IFERROR(IF(데이터입력!$AE$2="추경",VLOOKUP($A173,#REF!,12,FALSE),""),"")</f>
        <v/>
      </c>
      <c r="AK173" s="184" t="str">
        <f>IFERROR(IF(데이터입력!$AE$2="추경",VLOOKUP($A173,#REF!,13,FALSE),""),"")</f>
        <v/>
      </c>
    </row>
    <row r="174" spans="1:37">
      <c r="A174" s="180">
        <v>172</v>
      </c>
      <c r="B174" s="608" t="str">
        <f>IFERROR(IF(F174="06",데이터입력!$AB$8,IF(F174="07",데이터입력!$AD$8,IF(F174="05",데이터입력!$AF$8,데이터입력!$AB$8))),데이터입력!$AB$8)</f>
        <v>00</v>
      </c>
      <c r="C174" s="609" t="str">
        <f>데이터입력!$AC$9</f>
        <v>일반사업[일반]</v>
      </c>
      <c r="D174" s="610" t="str">
        <f>IFERROR(IF(AND(데이터입력!$AE$2="추경",데이터입력!$AM$2=TRUE),VLOOKUP($A174,데이터입력!$A:$H,4,FALSE),""),"")</f>
        <v/>
      </c>
      <c r="E174" s="610" t="str">
        <f>IFERROR(IF(AND(데이터입력!$AE$2="추경",데이터입력!$AM$2=TRUE),VLOOKUP($A174,데이터입력!$A:$H,2,FALSE),""),"")</f>
        <v/>
      </c>
      <c r="F174" s="610" t="str">
        <f>IFERROR(IF(AND(데이터입력!$AE$2="추경",데이터입력!$AM$2=TRUE),VLOOKUP($A174,데이터입력!$A:$H,5,FALSE),""),"")</f>
        <v/>
      </c>
      <c r="G174" s="610" t="str">
        <f>IFERROR(IF(AND(데이터입력!$AE$2="추경",데이터입력!$AM$2=TRUE),VLOOKUP($A174,데이터입력!$A:$H,6,FALSE),""),"")</f>
        <v/>
      </c>
      <c r="H174" s="611" t="str">
        <f>IFERROR(IF(AND(데이터입력!$AE$2="추경",데이터입력!$AM$2=TRUE),VLOOKUP($A174,데이터입력!$A:$L,7,FALSE),""),"")</f>
        <v/>
      </c>
      <c r="I174" s="611" t="str">
        <f>IFERROR(IF(AND(데이터입력!$AE$2="추경",데이터입력!$AM$2=TRUE),VLOOKUP($A174,데이터입력!$A:$L,8,FALSE)+VLOOKUP($A174,데이터입력!$A:$L,9,FALSE)+VLOOKUP($A174,데이터입력!$A:$L,10,FALSE),""),"")</f>
        <v/>
      </c>
      <c r="J174" s="612" t="s">
        <v>135</v>
      </c>
      <c r="K174" s="612" t="s">
        <v>135</v>
      </c>
      <c r="L174" s="612" t="s">
        <v>135</v>
      </c>
      <c r="M174" s="604"/>
      <c r="N174" s="180">
        <v>372</v>
      </c>
      <c r="O174" s="616" t="str">
        <f>IFERROR(IF(S174="06",데이터입력!$AB$8,IF(S174="07",데이터입력!$AD$8,IF(S174="05",데이터입력!$AF$8,데이터입력!$AB$8))),데이터입력!$AB$8)</f>
        <v>00</v>
      </c>
      <c r="P174" s="617" t="str">
        <f>데이터입력!$AC$9</f>
        <v>일반사업[일반]</v>
      </c>
      <c r="Q174" s="618" t="str">
        <f>IFERROR(IF(데이터입력!$AE$2="추경",VLOOKUP($N174,데이터입력!$A:$H,4,FALSE),""),"")</f>
        <v/>
      </c>
      <c r="R174" s="618" t="str">
        <f>IFERROR(IF(데이터입력!$AE$2="추경",VLOOKUP($N174,데이터입력!$A:$H,2,FALSE),""),"")</f>
        <v/>
      </c>
      <c r="S174" s="618" t="str">
        <f>IFERROR(IF(데이터입력!$AE$2="추경",VLOOKUP($N174,데이터입력!$A:$H,5,FALSE),""),"")</f>
        <v/>
      </c>
      <c r="T174" s="618" t="str">
        <f>IFERROR(IF(데이터입력!$AE$2="추경",VLOOKUP($N174,데이터입력!$A:$H,6,FALSE),""),"")</f>
        <v/>
      </c>
      <c r="U174" s="619" t="str">
        <f>IFERROR(IF(데이터입력!$AE$2="추경",VLOOKUP($N174,데이터입력!$A:$L,8,FALSE)+VLOOKUP($N174,데이터입력!$A:$L,9,FALSE)+VLOOKUP($N174,데이터입력!$A:$L,10,FALSE),""),"")</f>
        <v/>
      </c>
      <c r="V174" s="620" t="s">
        <v>135</v>
      </c>
      <c r="W174" s="620" t="s">
        <v>135</v>
      </c>
      <c r="X174" s="620" t="s">
        <v>135</v>
      </c>
      <c r="Y174" s="601"/>
      <c r="Z174" s="182" t="str">
        <f>데이터입력!$AB$8</f>
        <v>00</v>
      </c>
      <c r="AA174" s="185" t="str">
        <f>데이터입력!$AC$9</f>
        <v>일반사업[일반]</v>
      </c>
      <c r="AB174" s="183" t="str">
        <f>IFERROR(IF(데이터입력!$AE$2="추경",VLOOKUP($A174,#REF!,4,FALSE),""),"")</f>
        <v/>
      </c>
      <c r="AC174" s="183" t="str">
        <f>IFERROR(IF(데이터입력!$AE$2="추경",VLOOKUP($A174,#REF!,5,FALSE),""),"")</f>
        <v/>
      </c>
      <c r="AD174" s="183" t="str">
        <f>IFERROR(IF(데이터입력!$AE$2="추경",VLOOKUP($A174,#REF!,6,FALSE),""),"")</f>
        <v/>
      </c>
      <c r="AE174" s="183" t="str">
        <f>IFERROR(IF(데이터입력!$AE$2="추경",VLOOKUP($A174,#REF!,7,FALSE),""),"")</f>
        <v/>
      </c>
      <c r="AF174" s="183"/>
      <c r="AG174" s="184" t="str">
        <f>IFERROR(IF(데이터입력!$AE$2="추경",VLOOKUP($A174,#REF!,9,FALSE),""),"")</f>
        <v/>
      </c>
      <c r="AH174" s="184" t="str">
        <f>IFERROR(IF(데이터입력!$AE$2="추경",VLOOKUP($A174,#REF!,10,FALSE),""),"")</f>
        <v/>
      </c>
      <c r="AI174" s="184" t="str">
        <f>IFERROR(IF(데이터입력!$AE$2="추경",VLOOKUP($A174,#REF!,11,FALSE),""),"")</f>
        <v/>
      </c>
      <c r="AJ174" s="184" t="str">
        <f>IFERROR(IF(데이터입력!$AE$2="추경",VLOOKUP($A174,#REF!,12,FALSE),""),"")</f>
        <v/>
      </c>
      <c r="AK174" s="184" t="str">
        <f>IFERROR(IF(데이터입력!$AE$2="추경",VLOOKUP($A174,#REF!,13,FALSE),""),"")</f>
        <v/>
      </c>
    </row>
    <row r="175" spans="1:37">
      <c r="A175" s="180">
        <v>173</v>
      </c>
      <c r="B175" s="608" t="str">
        <f>IFERROR(IF(F175="06",데이터입력!$AB$8,IF(F175="07",데이터입력!$AD$8,IF(F175="05",데이터입력!$AF$8,데이터입력!$AB$8))),데이터입력!$AB$8)</f>
        <v>00</v>
      </c>
      <c r="C175" s="609" t="str">
        <f>데이터입력!$AC$9</f>
        <v>일반사업[일반]</v>
      </c>
      <c r="D175" s="610" t="str">
        <f>IFERROR(IF(AND(데이터입력!$AE$2="추경",데이터입력!$AM$2=TRUE),VLOOKUP($A175,데이터입력!$A:$H,4,FALSE),""),"")</f>
        <v/>
      </c>
      <c r="E175" s="610" t="str">
        <f>IFERROR(IF(AND(데이터입력!$AE$2="추경",데이터입력!$AM$2=TRUE),VLOOKUP($A175,데이터입력!$A:$H,2,FALSE),""),"")</f>
        <v/>
      </c>
      <c r="F175" s="610" t="str">
        <f>IFERROR(IF(AND(데이터입력!$AE$2="추경",데이터입력!$AM$2=TRUE),VLOOKUP($A175,데이터입력!$A:$H,5,FALSE),""),"")</f>
        <v/>
      </c>
      <c r="G175" s="610" t="str">
        <f>IFERROR(IF(AND(데이터입력!$AE$2="추경",데이터입력!$AM$2=TRUE),VLOOKUP($A175,데이터입력!$A:$H,6,FALSE),""),"")</f>
        <v/>
      </c>
      <c r="H175" s="611" t="str">
        <f>IFERROR(IF(AND(데이터입력!$AE$2="추경",데이터입력!$AM$2=TRUE),VLOOKUP($A175,데이터입력!$A:$L,7,FALSE),""),"")</f>
        <v/>
      </c>
      <c r="I175" s="611" t="str">
        <f>IFERROR(IF(AND(데이터입력!$AE$2="추경",데이터입력!$AM$2=TRUE),VLOOKUP($A175,데이터입력!$A:$L,8,FALSE)+VLOOKUP($A175,데이터입력!$A:$L,9,FALSE)+VLOOKUP($A175,데이터입력!$A:$L,10,FALSE),""),"")</f>
        <v/>
      </c>
      <c r="J175" s="612" t="s">
        <v>135</v>
      </c>
      <c r="K175" s="612" t="s">
        <v>135</v>
      </c>
      <c r="L175" s="612" t="s">
        <v>135</v>
      </c>
      <c r="M175" s="604"/>
      <c r="N175" s="180">
        <v>373</v>
      </c>
      <c r="O175" s="616" t="str">
        <f>IFERROR(IF(S175="06",데이터입력!$AB$8,IF(S175="07",데이터입력!$AD$8,IF(S175="05",데이터입력!$AF$8,데이터입력!$AB$8))),데이터입력!$AB$8)</f>
        <v>00</v>
      </c>
      <c r="P175" s="617" t="str">
        <f>데이터입력!$AC$9</f>
        <v>일반사업[일반]</v>
      </c>
      <c r="Q175" s="618" t="str">
        <f>IFERROR(IF(데이터입력!$AE$2="추경",VLOOKUP($N175,데이터입력!$A:$H,4,FALSE),""),"")</f>
        <v/>
      </c>
      <c r="R175" s="618" t="str">
        <f>IFERROR(IF(데이터입력!$AE$2="추경",VLOOKUP($N175,데이터입력!$A:$H,2,FALSE),""),"")</f>
        <v/>
      </c>
      <c r="S175" s="618" t="str">
        <f>IFERROR(IF(데이터입력!$AE$2="추경",VLOOKUP($N175,데이터입력!$A:$H,5,FALSE),""),"")</f>
        <v/>
      </c>
      <c r="T175" s="618" t="str">
        <f>IFERROR(IF(데이터입력!$AE$2="추경",VLOOKUP($N175,데이터입력!$A:$H,6,FALSE),""),"")</f>
        <v/>
      </c>
      <c r="U175" s="619" t="str">
        <f>IFERROR(IF(데이터입력!$AE$2="추경",VLOOKUP($N175,데이터입력!$A:$L,8,FALSE)+VLOOKUP($N175,데이터입력!$A:$L,9,FALSE)+VLOOKUP($N175,데이터입력!$A:$L,10,FALSE),""),"")</f>
        <v/>
      </c>
      <c r="V175" s="620" t="s">
        <v>135</v>
      </c>
      <c r="W175" s="620" t="s">
        <v>135</v>
      </c>
      <c r="X175" s="620" t="s">
        <v>135</v>
      </c>
      <c r="Y175" s="601"/>
      <c r="Z175" s="182" t="str">
        <f>데이터입력!$AB$8</f>
        <v>00</v>
      </c>
      <c r="AA175" s="185" t="str">
        <f>데이터입력!$AC$9</f>
        <v>일반사업[일반]</v>
      </c>
      <c r="AB175" s="183" t="str">
        <f>IFERROR(IF(데이터입력!$AE$2="추경",VLOOKUP($A175,#REF!,4,FALSE),""),"")</f>
        <v/>
      </c>
      <c r="AC175" s="183" t="str">
        <f>IFERROR(IF(데이터입력!$AE$2="추경",VLOOKUP($A175,#REF!,5,FALSE),""),"")</f>
        <v/>
      </c>
      <c r="AD175" s="183" t="str">
        <f>IFERROR(IF(데이터입력!$AE$2="추경",VLOOKUP($A175,#REF!,6,FALSE),""),"")</f>
        <v/>
      </c>
      <c r="AE175" s="183" t="str">
        <f>IFERROR(IF(데이터입력!$AE$2="추경",VLOOKUP($A175,#REF!,7,FALSE),""),"")</f>
        <v/>
      </c>
      <c r="AF175" s="183"/>
      <c r="AG175" s="184" t="str">
        <f>IFERROR(IF(데이터입력!$AE$2="추경",VLOOKUP($A175,#REF!,9,FALSE),""),"")</f>
        <v/>
      </c>
      <c r="AH175" s="184" t="str">
        <f>IFERROR(IF(데이터입력!$AE$2="추경",VLOOKUP($A175,#REF!,10,FALSE),""),"")</f>
        <v/>
      </c>
      <c r="AI175" s="184" t="str">
        <f>IFERROR(IF(데이터입력!$AE$2="추경",VLOOKUP($A175,#REF!,11,FALSE),""),"")</f>
        <v/>
      </c>
      <c r="AJ175" s="184" t="str">
        <f>IFERROR(IF(데이터입력!$AE$2="추경",VLOOKUP($A175,#REF!,12,FALSE),""),"")</f>
        <v/>
      </c>
      <c r="AK175" s="184" t="str">
        <f>IFERROR(IF(데이터입력!$AE$2="추경",VLOOKUP($A175,#REF!,13,FALSE),""),"")</f>
        <v/>
      </c>
    </row>
    <row r="176" spans="1:37">
      <c r="A176" s="180">
        <v>174</v>
      </c>
      <c r="B176" s="608" t="str">
        <f>IFERROR(IF(F176="06",데이터입력!$AB$8,IF(F176="07",데이터입력!$AD$8,IF(F176="05",데이터입력!$AF$8,데이터입력!$AB$8))),데이터입력!$AB$8)</f>
        <v>00</v>
      </c>
      <c r="C176" s="609" t="str">
        <f>데이터입력!$AC$9</f>
        <v>일반사업[일반]</v>
      </c>
      <c r="D176" s="610" t="str">
        <f>IFERROR(IF(AND(데이터입력!$AE$2="추경",데이터입력!$AM$2=TRUE),VLOOKUP($A176,데이터입력!$A:$H,4,FALSE),""),"")</f>
        <v/>
      </c>
      <c r="E176" s="610" t="str">
        <f>IFERROR(IF(AND(데이터입력!$AE$2="추경",데이터입력!$AM$2=TRUE),VLOOKUP($A176,데이터입력!$A:$H,2,FALSE),""),"")</f>
        <v/>
      </c>
      <c r="F176" s="610" t="str">
        <f>IFERROR(IF(AND(데이터입력!$AE$2="추경",데이터입력!$AM$2=TRUE),VLOOKUP($A176,데이터입력!$A:$H,5,FALSE),""),"")</f>
        <v/>
      </c>
      <c r="G176" s="610" t="str">
        <f>IFERROR(IF(AND(데이터입력!$AE$2="추경",데이터입력!$AM$2=TRUE),VLOOKUP($A176,데이터입력!$A:$H,6,FALSE),""),"")</f>
        <v/>
      </c>
      <c r="H176" s="611" t="str">
        <f>IFERROR(IF(AND(데이터입력!$AE$2="추경",데이터입력!$AM$2=TRUE),VLOOKUP($A176,데이터입력!$A:$L,7,FALSE),""),"")</f>
        <v/>
      </c>
      <c r="I176" s="611" t="str">
        <f>IFERROR(IF(AND(데이터입력!$AE$2="추경",데이터입력!$AM$2=TRUE),VLOOKUP($A176,데이터입력!$A:$L,8,FALSE)+VLOOKUP($A176,데이터입력!$A:$L,9,FALSE)+VLOOKUP($A176,데이터입력!$A:$L,10,FALSE),""),"")</f>
        <v/>
      </c>
      <c r="J176" s="612" t="s">
        <v>135</v>
      </c>
      <c r="K176" s="612" t="s">
        <v>135</v>
      </c>
      <c r="L176" s="612" t="s">
        <v>135</v>
      </c>
      <c r="M176" s="604"/>
      <c r="N176" s="180">
        <v>374</v>
      </c>
      <c r="O176" s="616" t="str">
        <f>IFERROR(IF(S176="06",데이터입력!$AB$8,IF(S176="07",데이터입력!$AD$8,IF(S176="05",데이터입력!$AF$8,데이터입력!$AB$8))),데이터입력!$AB$8)</f>
        <v>00</v>
      </c>
      <c r="P176" s="617" t="str">
        <f>데이터입력!$AC$9</f>
        <v>일반사업[일반]</v>
      </c>
      <c r="Q176" s="618" t="str">
        <f>IFERROR(IF(데이터입력!$AE$2="추경",VLOOKUP($N176,데이터입력!$A:$H,4,FALSE),""),"")</f>
        <v/>
      </c>
      <c r="R176" s="618" t="str">
        <f>IFERROR(IF(데이터입력!$AE$2="추경",VLOOKUP($N176,데이터입력!$A:$H,2,FALSE),""),"")</f>
        <v/>
      </c>
      <c r="S176" s="618" t="str">
        <f>IFERROR(IF(데이터입력!$AE$2="추경",VLOOKUP($N176,데이터입력!$A:$H,5,FALSE),""),"")</f>
        <v/>
      </c>
      <c r="T176" s="618" t="str">
        <f>IFERROR(IF(데이터입력!$AE$2="추경",VLOOKUP($N176,데이터입력!$A:$H,6,FALSE),""),"")</f>
        <v/>
      </c>
      <c r="U176" s="619" t="str">
        <f>IFERROR(IF(데이터입력!$AE$2="추경",VLOOKUP($N176,데이터입력!$A:$L,8,FALSE)+VLOOKUP($N176,데이터입력!$A:$L,9,FALSE)+VLOOKUP($N176,데이터입력!$A:$L,10,FALSE),""),"")</f>
        <v/>
      </c>
      <c r="V176" s="620" t="s">
        <v>135</v>
      </c>
      <c r="W176" s="620" t="s">
        <v>135</v>
      </c>
      <c r="X176" s="620" t="s">
        <v>135</v>
      </c>
      <c r="Y176" s="601"/>
      <c r="Z176" s="182" t="str">
        <f>데이터입력!$AB$8</f>
        <v>00</v>
      </c>
      <c r="AA176" s="185" t="str">
        <f>데이터입력!$AC$9</f>
        <v>일반사업[일반]</v>
      </c>
      <c r="AB176" s="183" t="str">
        <f>IFERROR(IF(데이터입력!$AE$2="추경",VLOOKUP($A176,#REF!,4,FALSE),""),"")</f>
        <v/>
      </c>
      <c r="AC176" s="183" t="str">
        <f>IFERROR(IF(데이터입력!$AE$2="추경",VLOOKUP($A176,#REF!,5,FALSE),""),"")</f>
        <v/>
      </c>
      <c r="AD176" s="183" t="str">
        <f>IFERROR(IF(데이터입력!$AE$2="추경",VLOOKUP($A176,#REF!,6,FALSE),""),"")</f>
        <v/>
      </c>
      <c r="AE176" s="183" t="str">
        <f>IFERROR(IF(데이터입력!$AE$2="추경",VLOOKUP($A176,#REF!,7,FALSE),""),"")</f>
        <v/>
      </c>
      <c r="AF176" s="183"/>
      <c r="AG176" s="184" t="str">
        <f>IFERROR(IF(데이터입력!$AE$2="추경",VLOOKUP($A176,#REF!,9,FALSE),""),"")</f>
        <v/>
      </c>
      <c r="AH176" s="184" t="str">
        <f>IFERROR(IF(데이터입력!$AE$2="추경",VLOOKUP($A176,#REF!,10,FALSE),""),"")</f>
        <v/>
      </c>
      <c r="AI176" s="184" t="str">
        <f>IFERROR(IF(데이터입력!$AE$2="추경",VLOOKUP($A176,#REF!,11,FALSE),""),"")</f>
        <v/>
      </c>
      <c r="AJ176" s="184" t="str">
        <f>IFERROR(IF(데이터입력!$AE$2="추경",VLOOKUP($A176,#REF!,12,FALSE),""),"")</f>
        <v/>
      </c>
      <c r="AK176" s="184" t="str">
        <f>IFERROR(IF(데이터입력!$AE$2="추경",VLOOKUP($A176,#REF!,13,FALSE),""),"")</f>
        <v/>
      </c>
    </row>
    <row r="177" spans="1:37">
      <c r="A177" s="180">
        <v>175</v>
      </c>
      <c r="B177" s="608" t="str">
        <f>IFERROR(IF(F177="06",데이터입력!$AB$8,IF(F177="07",데이터입력!$AD$8,IF(F177="05",데이터입력!$AF$8,데이터입력!$AB$8))),데이터입력!$AB$8)</f>
        <v>00</v>
      </c>
      <c r="C177" s="609" t="str">
        <f>데이터입력!$AC$9</f>
        <v>일반사업[일반]</v>
      </c>
      <c r="D177" s="610" t="str">
        <f>IFERROR(IF(AND(데이터입력!$AE$2="추경",데이터입력!$AM$2=TRUE),VLOOKUP($A177,데이터입력!$A:$H,4,FALSE),""),"")</f>
        <v/>
      </c>
      <c r="E177" s="610" t="str">
        <f>IFERROR(IF(AND(데이터입력!$AE$2="추경",데이터입력!$AM$2=TRUE),VLOOKUP($A177,데이터입력!$A:$H,2,FALSE),""),"")</f>
        <v/>
      </c>
      <c r="F177" s="610" t="str">
        <f>IFERROR(IF(AND(데이터입력!$AE$2="추경",데이터입력!$AM$2=TRUE),VLOOKUP($A177,데이터입력!$A:$H,5,FALSE),""),"")</f>
        <v/>
      </c>
      <c r="G177" s="610" t="str">
        <f>IFERROR(IF(AND(데이터입력!$AE$2="추경",데이터입력!$AM$2=TRUE),VLOOKUP($A177,데이터입력!$A:$H,6,FALSE),""),"")</f>
        <v/>
      </c>
      <c r="H177" s="611" t="str">
        <f>IFERROR(IF(AND(데이터입력!$AE$2="추경",데이터입력!$AM$2=TRUE),VLOOKUP($A177,데이터입력!$A:$L,7,FALSE),""),"")</f>
        <v/>
      </c>
      <c r="I177" s="611" t="str">
        <f>IFERROR(IF(AND(데이터입력!$AE$2="추경",데이터입력!$AM$2=TRUE),VLOOKUP($A177,데이터입력!$A:$L,8,FALSE)+VLOOKUP($A177,데이터입력!$A:$L,9,FALSE)+VLOOKUP($A177,데이터입력!$A:$L,10,FALSE),""),"")</f>
        <v/>
      </c>
      <c r="J177" s="612" t="s">
        <v>135</v>
      </c>
      <c r="K177" s="612" t="s">
        <v>135</v>
      </c>
      <c r="L177" s="612" t="s">
        <v>135</v>
      </c>
      <c r="M177" s="604"/>
      <c r="N177" s="180">
        <v>375</v>
      </c>
      <c r="O177" s="616" t="str">
        <f>IFERROR(IF(S177="06",데이터입력!$AB$8,IF(S177="07",데이터입력!$AD$8,IF(S177="05",데이터입력!$AF$8,데이터입력!$AB$8))),데이터입력!$AB$8)</f>
        <v>00</v>
      </c>
      <c r="P177" s="617" t="str">
        <f>데이터입력!$AC$9</f>
        <v>일반사업[일반]</v>
      </c>
      <c r="Q177" s="618" t="str">
        <f>IFERROR(IF(데이터입력!$AE$2="추경",VLOOKUP($N177,데이터입력!$A:$H,4,FALSE),""),"")</f>
        <v/>
      </c>
      <c r="R177" s="618" t="str">
        <f>IFERROR(IF(데이터입력!$AE$2="추경",VLOOKUP($N177,데이터입력!$A:$H,2,FALSE),""),"")</f>
        <v/>
      </c>
      <c r="S177" s="618" t="str">
        <f>IFERROR(IF(데이터입력!$AE$2="추경",VLOOKUP($N177,데이터입력!$A:$H,5,FALSE),""),"")</f>
        <v/>
      </c>
      <c r="T177" s="618" t="str">
        <f>IFERROR(IF(데이터입력!$AE$2="추경",VLOOKUP($N177,데이터입력!$A:$H,6,FALSE),""),"")</f>
        <v/>
      </c>
      <c r="U177" s="619" t="str">
        <f>IFERROR(IF(데이터입력!$AE$2="추경",VLOOKUP($N177,데이터입력!$A:$L,8,FALSE)+VLOOKUP($N177,데이터입력!$A:$L,9,FALSE)+VLOOKUP($N177,데이터입력!$A:$L,10,FALSE),""),"")</f>
        <v/>
      </c>
      <c r="V177" s="620" t="s">
        <v>135</v>
      </c>
      <c r="W177" s="620" t="s">
        <v>135</v>
      </c>
      <c r="X177" s="620" t="s">
        <v>135</v>
      </c>
      <c r="Y177" s="601"/>
      <c r="Z177" s="182" t="str">
        <f>데이터입력!$AB$8</f>
        <v>00</v>
      </c>
      <c r="AA177" s="185" t="str">
        <f>데이터입력!$AC$9</f>
        <v>일반사업[일반]</v>
      </c>
      <c r="AB177" s="183" t="str">
        <f>IFERROR(IF(데이터입력!$AE$2="추경",VLOOKUP($A177,#REF!,4,FALSE),""),"")</f>
        <v/>
      </c>
      <c r="AC177" s="183" t="str">
        <f>IFERROR(IF(데이터입력!$AE$2="추경",VLOOKUP($A177,#REF!,5,FALSE),""),"")</f>
        <v/>
      </c>
      <c r="AD177" s="183" t="str">
        <f>IFERROR(IF(데이터입력!$AE$2="추경",VLOOKUP($A177,#REF!,6,FALSE),""),"")</f>
        <v/>
      </c>
      <c r="AE177" s="183" t="str">
        <f>IFERROR(IF(데이터입력!$AE$2="추경",VLOOKUP($A177,#REF!,7,FALSE),""),"")</f>
        <v/>
      </c>
      <c r="AF177" s="183"/>
      <c r="AG177" s="184" t="str">
        <f>IFERROR(IF(데이터입력!$AE$2="추경",VLOOKUP($A177,#REF!,9,FALSE),""),"")</f>
        <v/>
      </c>
      <c r="AH177" s="184" t="str">
        <f>IFERROR(IF(데이터입력!$AE$2="추경",VLOOKUP($A177,#REF!,10,FALSE),""),"")</f>
        <v/>
      </c>
      <c r="AI177" s="184" t="str">
        <f>IFERROR(IF(데이터입력!$AE$2="추경",VLOOKUP($A177,#REF!,11,FALSE),""),"")</f>
        <v/>
      </c>
      <c r="AJ177" s="184" t="str">
        <f>IFERROR(IF(데이터입력!$AE$2="추경",VLOOKUP($A177,#REF!,12,FALSE),""),"")</f>
        <v/>
      </c>
      <c r="AK177" s="184" t="str">
        <f>IFERROR(IF(데이터입력!$AE$2="추경",VLOOKUP($A177,#REF!,13,FALSE),""),"")</f>
        <v/>
      </c>
    </row>
    <row r="178" spans="1:37">
      <c r="A178" s="180">
        <v>176</v>
      </c>
      <c r="B178" s="608" t="str">
        <f>IFERROR(IF(F178="06",데이터입력!$AB$8,IF(F178="07",데이터입력!$AD$8,IF(F178="05",데이터입력!$AF$8,데이터입력!$AB$8))),데이터입력!$AB$8)</f>
        <v>00</v>
      </c>
      <c r="C178" s="609" t="str">
        <f>데이터입력!$AC$9</f>
        <v>일반사업[일반]</v>
      </c>
      <c r="D178" s="610" t="str">
        <f>IFERROR(IF(AND(데이터입력!$AE$2="추경",데이터입력!$AM$2=TRUE),VLOOKUP($A178,데이터입력!$A:$H,4,FALSE),""),"")</f>
        <v/>
      </c>
      <c r="E178" s="610" t="str">
        <f>IFERROR(IF(AND(데이터입력!$AE$2="추경",데이터입력!$AM$2=TRUE),VLOOKUP($A178,데이터입력!$A:$H,2,FALSE),""),"")</f>
        <v/>
      </c>
      <c r="F178" s="610" t="str">
        <f>IFERROR(IF(AND(데이터입력!$AE$2="추경",데이터입력!$AM$2=TRUE),VLOOKUP($A178,데이터입력!$A:$H,5,FALSE),""),"")</f>
        <v/>
      </c>
      <c r="G178" s="610" t="str">
        <f>IFERROR(IF(AND(데이터입력!$AE$2="추경",데이터입력!$AM$2=TRUE),VLOOKUP($A178,데이터입력!$A:$H,6,FALSE),""),"")</f>
        <v/>
      </c>
      <c r="H178" s="611" t="str">
        <f>IFERROR(IF(AND(데이터입력!$AE$2="추경",데이터입력!$AM$2=TRUE),VLOOKUP($A178,데이터입력!$A:$L,7,FALSE),""),"")</f>
        <v/>
      </c>
      <c r="I178" s="611" t="str">
        <f>IFERROR(IF(AND(데이터입력!$AE$2="추경",데이터입력!$AM$2=TRUE),VLOOKUP($A178,데이터입력!$A:$L,8,FALSE)+VLOOKUP($A178,데이터입력!$A:$L,9,FALSE)+VLOOKUP($A178,데이터입력!$A:$L,10,FALSE),""),"")</f>
        <v/>
      </c>
      <c r="J178" s="612" t="s">
        <v>135</v>
      </c>
      <c r="K178" s="612" t="s">
        <v>135</v>
      </c>
      <c r="L178" s="612" t="s">
        <v>135</v>
      </c>
      <c r="M178" s="604"/>
      <c r="N178" s="180">
        <v>376</v>
      </c>
      <c r="O178" s="616" t="str">
        <f>IFERROR(IF(S178="06",데이터입력!$AB$8,IF(S178="07",데이터입력!$AD$8,IF(S178="05",데이터입력!$AF$8,데이터입력!$AB$8))),데이터입력!$AB$8)</f>
        <v>00</v>
      </c>
      <c r="P178" s="617" t="str">
        <f>데이터입력!$AC$9</f>
        <v>일반사업[일반]</v>
      </c>
      <c r="Q178" s="618" t="str">
        <f>IFERROR(IF(데이터입력!$AE$2="추경",VLOOKUP($N178,데이터입력!$A:$H,4,FALSE),""),"")</f>
        <v/>
      </c>
      <c r="R178" s="618" t="str">
        <f>IFERROR(IF(데이터입력!$AE$2="추경",VLOOKUP($N178,데이터입력!$A:$H,2,FALSE),""),"")</f>
        <v/>
      </c>
      <c r="S178" s="618" t="str">
        <f>IFERROR(IF(데이터입력!$AE$2="추경",VLOOKUP($N178,데이터입력!$A:$H,5,FALSE),""),"")</f>
        <v/>
      </c>
      <c r="T178" s="618" t="str">
        <f>IFERROR(IF(데이터입력!$AE$2="추경",VLOOKUP($N178,데이터입력!$A:$H,6,FALSE),""),"")</f>
        <v/>
      </c>
      <c r="U178" s="619" t="str">
        <f>IFERROR(IF(데이터입력!$AE$2="추경",VLOOKUP($N178,데이터입력!$A:$L,8,FALSE)+VLOOKUP($N178,데이터입력!$A:$L,9,FALSE)+VLOOKUP($N178,데이터입력!$A:$L,10,FALSE),""),"")</f>
        <v/>
      </c>
      <c r="V178" s="620" t="s">
        <v>135</v>
      </c>
      <c r="W178" s="620" t="s">
        <v>135</v>
      </c>
      <c r="X178" s="620" t="s">
        <v>135</v>
      </c>
      <c r="Y178" s="601"/>
      <c r="Z178" s="182" t="str">
        <f>데이터입력!$AB$8</f>
        <v>00</v>
      </c>
      <c r="AA178" s="185" t="str">
        <f>데이터입력!$AC$9</f>
        <v>일반사업[일반]</v>
      </c>
      <c r="AB178" s="183" t="str">
        <f>IFERROR(IF(데이터입력!$AE$2="추경",VLOOKUP($A178,#REF!,4,FALSE),""),"")</f>
        <v/>
      </c>
      <c r="AC178" s="183" t="str">
        <f>IFERROR(IF(데이터입력!$AE$2="추경",VLOOKUP($A178,#REF!,5,FALSE),""),"")</f>
        <v/>
      </c>
      <c r="AD178" s="183" t="str">
        <f>IFERROR(IF(데이터입력!$AE$2="추경",VLOOKUP($A178,#REF!,6,FALSE),""),"")</f>
        <v/>
      </c>
      <c r="AE178" s="183" t="str">
        <f>IFERROR(IF(데이터입력!$AE$2="추경",VLOOKUP($A178,#REF!,7,FALSE),""),"")</f>
        <v/>
      </c>
      <c r="AF178" s="183"/>
      <c r="AG178" s="184" t="str">
        <f>IFERROR(IF(데이터입력!$AE$2="추경",VLOOKUP($A178,#REF!,9,FALSE),""),"")</f>
        <v/>
      </c>
      <c r="AH178" s="184" t="str">
        <f>IFERROR(IF(데이터입력!$AE$2="추경",VLOOKUP($A178,#REF!,10,FALSE),""),"")</f>
        <v/>
      </c>
      <c r="AI178" s="184" t="str">
        <f>IFERROR(IF(데이터입력!$AE$2="추경",VLOOKUP($A178,#REF!,11,FALSE),""),"")</f>
        <v/>
      </c>
      <c r="AJ178" s="184" t="str">
        <f>IFERROR(IF(데이터입력!$AE$2="추경",VLOOKUP($A178,#REF!,12,FALSE),""),"")</f>
        <v/>
      </c>
      <c r="AK178" s="184" t="str">
        <f>IFERROR(IF(데이터입력!$AE$2="추경",VLOOKUP($A178,#REF!,13,FALSE),""),"")</f>
        <v/>
      </c>
    </row>
    <row r="179" spans="1:37">
      <c r="A179" s="180">
        <v>177</v>
      </c>
      <c r="B179" s="608" t="str">
        <f>IFERROR(IF(F179="06",데이터입력!$AB$8,IF(F179="07",데이터입력!$AD$8,IF(F179="05",데이터입력!$AF$8,데이터입력!$AB$8))),데이터입력!$AB$8)</f>
        <v>00</v>
      </c>
      <c r="C179" s="609" t="str">
        <f>데이터입력!$AC$9</f>
        <v>일반사업[일반]</v>
      </c>
      <c r="D179" s="610" t="str">
        <f>IFERROR(IF(AND(데이터입력!$AE$2="추경",데이터입력!$AM$2=TRUE),VLOOKUP($A179,데이터입력!$A:$H,4,FALSE),""),"")</f>
        <v/>
      </c>
      <c r="E179" s="610" t="str">
        <f>IFERROR(IF(AND(데이터입력!$AE$2="추경",데이터입력!$AM$2=TRUE),VLOOKUP($A179,데이터입력!$A:$H,2,FALSE),""),"")</f>
        <v/>
      </c>
      <c r="F179" s="610" t="str">
        <f>IFERROR(IF(AND(데이터입력!$AE$2="추경",데이터입력!$AM$2=TRUE),VLOOKUP($A179,데이터입력!$A:$H,5,FALSE),""),"")</f>
        <v/>
      </c>
      <c r="G179" s="610" t="str">
        <f>IFERROR(IF(AND(데이터입력!$AE$2="추경",데이터입력!$AM$2=TRUE),VLOOKUP($A179,데이터입력!$A:$H,6,FALSE),""),"")</f>
        <v/>
      </c>
      <c r="H179" s="611" t="str">
        <f>IFERROR(IF(AND(데이터입력!$AE$2="추경",데이터입력!$AM$2=TRUE),VLOOKUP($A179,데이터입력!$A:$L,7,FALSE),""),"")</f>
        <v/>
      </c>
      <c r="I179" s="611" t="str">
        <f>IFERROR(IF(AND(데이터입력!$AE$2="추경",데이터입력!$AM$2=TRUE),VLOOKUP($A179,데이터입력!$A:$L,8,FALSE)+VLOOKUP($A179,데이터입력!$A:$L,9,FALSE)+VLOOKUP($A179,데이터입력!$A:$L,10,FALSE),""),"")</f>
        <v/>
      </c>
      <c r="J179" s="612" t="s">
        <v>135</v>
      </c>
      <c r="K179" s="612" t="s">
        <v>135</v>
      </c>
      <c r="L179" s="612" t="s">
        <v>135</v>
      </c>
      <c r="M179" s="604"/>
      <c r="N179" s="180">
        <v>377</v>
      </c>
      <c r="O179" s="616" t="str">
        <f>IFERROR(IF(S179="06",데이터입력!$AB$8,IF(S179="07",데이터입력!$AD$8,IF(S179="05",데이터입력!$AF$8,데이터입력!$AB$8))),데이터입력!$AB$8)</f>
        <v>00</v>
      </c>
      <c r="P179" s="617" t="str">
        <f>데이터입력!$AC$9</f>
        <v>일반사업[일반]</v>
      </c>
      <c r="Q179" s="618" t="str">
        <f>IFERROR(IF(데이터입력!$AE$2="추경",VLOOKUP($N179,데이터입력!$A:$H,4,FALSE),""),"")</f>
        <v/>
      </c>
      <c r="R179" s="618" t="str">
        <f>IFERROR(IF(데이터입력!$AE$2="추경",VLOOKUP($N179,데이터입력!$A:$H,2,FALSE),""),"")</f>
        <v/>
      </c>
      <c r="S179" s="618" t="str">
        <f>IFERROR(IF(데이터입력!$AE$2="추경",VLOOKUP($N179,데이터입력!$A:$H,5,FALSE),""),"")</f>
        <v/>
      </c>
      <c r="T179" s="618" t="str">
        <f>IFERROR(IF(데이터입력!$AE$2="추경",VLOOKUP($N179,데이터입력!$A:$H,6,FALSE),""),"")</f>
        <v/>
      </c>
      <c r="U179" s="619" t="str">
        <f>IFERROR(IF(데이터입력!$AE$2="추경",VLOOKUP($N179,데이터입력!$A:$L,8,FALSE)+VLOOKUP($N179,데이터입력!$A:$L,9,FALSE)+VLOOKUP($N179,데이터입력!$A:$L,10,FALSE),""),"")</f>
        <v/>
      </c>
      <c r="V179" s="620" t="s">
        <v>135</v>
      </c>
      <c r="W179" s="620" t="s">
        <v>135</v>
      </c>
      <c r="X179" s="620" t="s">
        <v>135</v>
      </c>
      <c r="Y179" s="601"/>
      <c r="Z179" s="182" t="str">
        <f>데이터입력!$AB$8</f>
        <v>00</v>
      </c>
      <c r="AA179" s="185" t="str">
        <f>데이터입력!$AC$9</f>
        <v>일반사업[일반]</v>
      </c>
      <c r="AB179" s="183" t="str">
        <f>IFERROR(IF(데이터입력!$AE$2="추경",VLOOKUP($A179,#REF!,4,FALSE),""),"")</f>
        <v/>
      </c>
      <c r="AC179" s="183" t="str">
        <f>IFERROR(IF(데이터입력!$AE$2="추경",VLOOKUP($A179,#REF!,5,FALSE),""),"")</f>
        <v/>
      </c>
      <c r="AD179" s="183" t="str">
        <f>IFERROR(IF(데이터입력!$AE$2="추경",VLOOKUP($A179,#REF!,6,FALSE),""),"")</f>
        <v/>
      </c>
      <c r="AE179" s="183" t="str">
        <f>IFERROR(IF(데이터입력!$AE$2="추경",VLOOKUP($A179,#REF!,7,FALSE),""),"")</f>
        <v/>
      </c>
      <c r="AF179" s="183"/>
      <c r="AG179" s="184" t="str">
        <f>IFERROR(IF(데이터입력!$AE$2="추경",VLOOKUP($A179,#REF!,9,FALSE),""),"")</f>
        <v/>
      </c>
      <c r="AH179" s="184" t="str">
        <f>IFERROR(IF(데이터입력!$AE$2="추경",VLOOKUP($A179,#REF!,10,FALSE),""),"")</f>
        <v/>
      </c>
      <c r="AI179" s="184" t="str">
        <f>IFERROR(IF(데이터입력!$AE$2="추경",VLOOKUP($A179,#REF!,11,FALSE),""),"")</f>
        <v/>
      </c>
      <c r="AJ179" s="184" t="str">
        <f>IFERROR(IF(데이터입력!$AE$2="추경",VLOOKUP($A179,#REF!,12,FALSE),""),"")</f>
        <v/>
      </c>
      <c r="AK179" s="184" t="str">
        <f>IFERROR(IF(데이터입력!$AE$2="추경",VLOOKUP($A179,#REF!,13,FALSE),""),"")</f>
        <v/>
      </c>
    </row>
    <row r="180" spans="1:37">
      <c r="A180" s="180">
        <v>178</v>
      </c>
      <c r="B180" s="608" t="str">
        <f>IFERROR(IF(F180="06",데이터입력!$AB$8,IF(F180="07",데이터입력!$AD$8,IF(F180="05",데이터입력!$AF$8,데이터입력!$AB$8))),데이터입력!$AB$8)</f>
        <v>00</v>
      </c>
      <c r="C180" s="609" t="str">
        <f>데이터입력!$AC$9</f>
        <v>일반사업[일반]</v>
      </c>
      <c r="D180" s="610" t="str">
        <f>IFERROR(IF(AND(데이터입력!$AE$2="추경",데이터입력!$AM$2=TRUE),VLOOKUP($A180,데이터입력!$A:$H,4,FALSE),""),"")</f>
        <v/>
      </c>
      <c r="E180" s="610" t="str">
        <f>IFERROR(IF(AND(데이터입력!$AE$2="추경",데이터입력!$AM$2=TRUE),VLOOKUP($A180,데이터입력!$A:$H,2,FALSE),""),"")</f>
        <v/>
      </c>
      <c r="F180" s="610" t="str">
        <f>IFERROR(IF(AND(데이터입력!$AE$2="추경",데이터입력!$AM$2=TRUE),VLOOKUP($A180,데이터입력!$A:$H,5,FALSE),""),"")</f>
        <v/>
      </c>
      <c r="G180" s="610" t="str">
        <f>IFERROR(IF(AND(데이터입력!$AE$2="추경",데이터입력!$AM$2=TRUE),VLOOKUP($A180,데이터입력!$A:$H,6,FALSE),""),"")</f>
        <v/>
      </c>
      <c r="H180" s="611" t="str">
        <f>IFERROR(IF(AND(데이터입력!$AE$2="추경",데이터입력!$AM$2=TRUE),VLOOKUP($A180,데이터입력!$A:$L,7,FALSE),""),"")</f>
        <v/>
      </c>
      <c r="I180" s="611" t="str">
        <f>IFERROR(IF(AND(데이터입력!$AE$2="추경",데이터입력!$AM$2=TRUE),VLOOKUP($A180,데이터입력!$A:$L,8,FALSE)+VLOOKUP($A180,데이터입력!$A:$L,9,FALSE)+VLOOKUP($A180,데이터입력!$A:$L,10,FALSE),""),"")</f>
        <v/>
      </c>
      <c r="J180" s="612" t="s">
        <v>135</v>
      </c>
      <c r="K180" s="612" t="s">
        <v>135</v>
      </c>
      <c r="L180" s="612" t="s">
        <v>135</v>
      </c>
      <c r="M180" s="604"/>
      <c r="N180" s="180">
        <v>378</v>
      </c>
      <c r="O180" s="616" t="str">
        <f>IFERROR(IF(S180="06",데이터입력!$AB$8,IF(S180="07",데이터입력!$AD$8,IF(S180="05",데이터입력!$AF$8,데이터입력!$AB$8))),데이터입력!$AB$8)</f>
        <v>00</v>
      </c>
      <c r="P180" s="617" t="str">
        <f>데이터입력!$AC$9</f>
        <v>일반사업[일반]</v>
      </c>
      <c r="Q180" s="618" t="str">
        <f>IFERROR(IF(데이터입력!$AE$2="추경",VLOOKUP($N180,데이터입력!$A:$H,4,FALSE),""),"")</f>
        <v/>
      </c>
      <c r="R180" s="618" t="str">
        <f>IFERROR(IF(데이터입력!$AE$2="추경",VLOOKUP($N180,데이터입력!$A:$H,2,FALSE),""),"")</f>
        <v/>
      </c>
      <c r="S180" s="618" t="str">
        <f>IFERROR(IF(데이터입력!$AE$2="추경",VLOOKUP($N180,데이터입력!$A:$H,5,FALSE),""),"")</f>
        <v/>
      </c>
      <c r="T180" s="618" t="str">
        <f>IFERROR(IF(데이터입력!$AE$2="추경",VLOOKUP($N180,데이터입력!$A:$H,6,FALSE),""),"")</f>
        <v/>
      </c>
      <c r="U180" s="619" t="str">
        <f>IFERROR(IF(데이터입력!$AE$2="추경",VLOOKUP($N180,데이터입력!$A:$L,8,FALSE)+VLOOKUP($N180,데이터입력!$A:$L,9,FALSE)+VLOOKUP($N180,데이터입력!$A:$L,10,FALSE),""),"")</f>
        <v/>
      </c>
      <c r="V180" s="620" t="s">
        <v>135</v>
      </c>
      <c r="W180" s="620" t="s">
        <v>135</v>
      </c>
      <c r="X180" s="620" t="s">
        <v>135</v>
      </c>
      <c r="Y180" s="601"/>
      <c r="Z180" s="182" t="str">
        <f>데이터입력!$AB$8</f>
        <v>00</v>
      </c>
      <c r="AA180" s="185" t="str">
        <f>데이터입력!$AC$9</f>
        <v>일반사업[일반]</v>
      </c>
      <c r="AB180" s="183" t="str">
        <f>IFERROR(IF(데이터입력!$AE$2="추경",VLOOKUP($A180,#REF!,4,FALSE),""),"")</f>
        <v/>
      </c>
      <c r="AC180" s="183" t="str">
        <f>IFERROR(IF(데이터입력!$AE$2="추경",VLOOKUP($A180,#REF!,5,FALSE),""),"")</f>
        <v/>
      </c>
      <c r="AD180" s="183" t="str">
        <f>IFERROR(IF(데이터입력!$AE$2="추경",VLOOKUP($A180,#REF!,6,FALSE),""),"")</f>
        <v/>
      </c>
      <c r="AE180" s="183" t="str">
        <f>IFERROR(IF(데이터입력!$AE$2="추경",VLOOKUP($A180,#REF!,7,FALSE),""),"")</f>
        <v/>
      </c>
      <c r="AF180" s="183"/>
      <c r="AG180" s="184" t="str">
        <f>IFERROR(IF(데이터입력!$AE$2="추경",VLOOKUP($A180,#REF!,9,FALSE),""),"")</f>
        <v/>
      </c>
      <c r="AH180" s="184" t="str">
        <f>IFERROR(IF(데이터입력!$AE$2="추경",VLOOKUP($A180,#REF!,10,FALSE),""),"")</f>
        <v/>
      </c>
      <c r="AI180" s="184" t="str">
        <f>IFERROR(IF(데이터입력!$AE$2="추경",VLOOKUP($A180,#REF!,11,FALSE),""),"")</f>
        <v/>
      </c>
      <c r="AJ180" s="184" t="str">
        <f>IFERROR(IF(데이터입력!$AE$2="추경",VLOOKUP($A180,#REF!,12,FALSE),""),"")</f>
        <v/>
      </c>
      <c r="AK180" s="184" t="str">
        <f>IFERROR(IF(데이터입력!$AE$2="추경",VLOOKUP($A180,#REF!,13,FALSE),""),"")</f>
        <v/>
      </c>
    </row>
    <row r="181" spans="1:37">
      <c r="A181" s="180">
        <v>179</v>
      </c>
      <c r="B181" s="608" t="str">
        <f>IFERROR(IF(F181="06",데이터입력!$AB$8,IF(F181="07",데이터입력!$AD$8,IF(F181="05",데이터입력!$AF$8,데이터입력!$AB$8))),데이터입력!$AB$8)</f>
        <v>00</v>
      </c>
      <c r="C181" s="609" t="str">
        <f>데이터입력!$AC$9</f>
        <v>일반사업[일반]</v>
      </c>
      <c r="D181" s="610" t="str">
        <f>IFERROR(IF(AND(데이터입력!$AE$2="추경",데이터입력!$AM$2=TRUE),VLOOKUP($A181,데이터입력!$A:$H,4,FALSE),""),"")</f>
        <v/>
      </c>
      <c r="E181" s="610" t="str">
        <f>IFERROR(IF(AND(데이터입력!$AE$2="추경",데이터입력!$AM$2=TRUE),VLOOKUP($A181,데이터입력!$A:$H,2,FALSE),""),"")</f>
        <v/>
      </c>
      <c r="F181" s="610" t="str">
        <f>IFERROR(IF(AND(데이터입력!$AE$2="추경",데이터입력!$AM$2=TRUE),VLOOKUP($A181,데이터입력!$A:$H,5,FALSE),""),"")</f>
        <v/>
      </c>
      <c r="G181" s="610" t="str">
        <f>IFERROR(IF(AND(데이터입력!$AE$2="추경",데이터입력!$AM$2=TRUE),VLOOKUP($A181,데이터입력!$A:$H,6,FALSE),""),"")</f>
        <v/>
      </c>
      <c r="H181" s="611" t="str">
        <f>IFERROR(IF(AND(데이터입력!$AE$2="추경",데이터입력!$AM$2=TRUE),VLOOKUP($A181,데이터입력!$A:$L,7,FALSE),""),"")</f>
        <v/>
      </c>
      <c r="I181" s="611" t="str">
        <f>IFERROR(IF(AND(데이터입력!$AE$2="추경",데이터입력!$AM$2=TRUE),VLOOKUP($A181,데이터입력!$A:$L,8,FALSE)+VLOOKUP($A181,데이터입력!$A:$L,9,FALSE)+VLOOKUP($A181,데이터입력!$A:$L,10,FALSE),""),"")</f>
        <v/>
      </c>
      <c r="J181" s="612" t="s">
        <v>135</v>
      </c>
      <c r="K181" s="612" t="s">
        <v>135</v>
      </c>
      <c r="L181" s="612" t="s">
        <v>135</v>
      </c>
      <c r="M181" s="604"/>
      <c r="N181" s="180">
        <v>379</v>
      </c>
      <c r="O181" s="616" t="str">
        <f>IFERROR(IF(S181="06",데이터입력!$AB$8,IF(S181="07",데이터입력!$AD$8,IF(S181="05",데이터입력!$AF$8,데이터입력!$AB$8))),데이터입력!$AB$8)</f>
        <v>00</v>
      </c>
      <c r="P181" s="617" t="str">
        <f>데이터입력!$AC$9</f>
        <v>일반사업[일반]</v>
      </c>
      <c r="Q181" s="618" t="str">
        <f>IFERROR(IF(데이터입력!$AE$2="추경",VLOOKUP($N181,데이터입력!$A:$H,4,FALSE),""),"")</f>
        <v/>
      </c>
      <c r="R181" s="618" t="str">
        <f>IFERROR(IF(데이터입력!$AE$2="추경",VLOOKUP($N181,데이터입력!$A:$H,2,FALSE),""),"")</f>
        <v/>
      </c>
      <c r="S181" s="618" t="str">
        <f>IFERROR(IF(데이터입력!$AE$2="추경",VLOOKUP($N181,데이터입력!$A:$H,5,FALSE),""),"")</f>
        <v/>
      </c>
      <c r="T181" s="618" t="str">
        <f>IFERROR(IF(데이터입력!$AE$2="추경",VLOOKUP($N181,데이터입력!$A:$H,6,FALSE),""),"")</f>
        <v/>
      </c>
      <c r="U181" s="619" t="str">
        <f>IFERROR(IF(데이터입력!$AE$2="추경",VLOOKUP($N181,데이터입력!$A:$L,8,FALSE)+VLOOKUP($N181,데이터입력!$A:$L,9,FALSE)+VLOOKUP($N181,데이터입력!$A:$L,10,FALSE),""),"")</f>
        <v/>
      </c>
      <c r="V181" s="620" t="s">
        <v>135</v>
      </c>
      <c r="W181" s="620" t="s">
        <v>135</v>
      </c>
      <c r="X181" s="620" t="s">
        <v>135</v>
      </c>
      <c r="Y181" s="601"/>
      <c r="Z181" s="182" t="str">
        <f>데이터입력!$AB$8</f>
        <v>00</v>
      </c>
      <c r="AA181" s="185" t="str">
        <f>데이터입력!$AC$9</f>
        <v>일반사업[일반]</v>
      </c>
      <c r="AB181" s="183" t="str">
        <f>IFERROR(IF(데이터입력!$AE$2="추경",VLOOKUP($A181,#REF!,4,FALSE),""),"")</f>
        <v/>
      </c>
      <c r="AC181" s="183" t="str">
        <f>IFERROR(IF(데이터입력!$AE$2="추경",VLOOKUP($A181,#REF!,5,FALSE),""),"")</f>
        <v/>
      </c>
      <c r="AD181" s="183" t="str">
        <f>IFERROR(IF(데이터입력!$AE$2="추경",VLOOKUP($A181,#REF!,6,FALSE),""),"")</f>
        <v/>
      </c>
      <c r="AE181" s="183" t="str">
        <f>IFERROR(IF(데이터입력!$AE$2="추경",VLOOKUP($A181,#REF!,7,FALSE),""),"")</f>
        <v/>
      </c>
      <c r="AF181" s="183"/>
      <c r="AG181" s="184" t="str">
        <f>IFERROR(IF(데이터입력!$AE$2="추경",VLOOKUP($A181,#REF!,9,FALSE),""),"")</f>
        <v/>
      </c>
      <c r="AH181" s="184" t="str">
        <f>IFERROR(IF(데이터입력!$AE$2="추경",VLOOKUP($A181,#REF!,10,FALSE),""),"")</f>
        <v/>
      </c>
      <c r="AI181" s="184" t="str">
        <f>IFERROR(IF(데이터입력!$AE$2="추경",VLOOKUP($A181,#REF!,11,FALSE),""),"")</f>
        <v/>
      </c>
      <c r="AJ181" s="184" t="str">
        <f>IFERROR(IF(데이터입력!$AE$2="추경",VLOOKUP($A181,#REF!,12,FALSE),""),"")</f>
        <v/>
      </c>
      <c r="AK181" s="184" t="str">
        <f>IFERROR(IF(데이터입력!$AE$2="추경",VLOOKUP($A181,#REF!,13,FALSE),""),"")</f>
        <v/>
      </c>
    </row>
    <row r="182" spans="1:37">
      <c r="A182" s="180">
        <v>180</v>
      </c>
      <c r="B182" s="608" t="str">
        <f>IFERROR(IF(F182="06",데이터입력!$AB$8,IF(F182="07",데이터입력!$AD$8,IF(F182="05",데이터입력!$AF$8,데이터입력!$AB$8))),데이터입력!$AB$8)</f>
        <v>00</v>
      </c>
      <c r="C182" s="609" t="str">
        <f>데이터입력!$AC$9</f>
        <v>일반사업[일반]</v>
      </c>
      <c r="D182" s="610" t="str">
        <f>IFERROR(IF(AND(데이터입력!$AE$2="추경",데이터입력!$AM$2=TRUE),VLOOKUP($A182,데이터입력!$A:$H,4,FALSE),""),"")</f>
        <v/>
      </c>
      <c r="E182" s="610" t="str">
        <f>IFERROR(IF(AND(데이터입력!$AE$2="추경",데이터입력!$AM$2=TRUE),VLOOKUP($A182,데이터입력!$A:$H,2,FALSE),""),"")</f>
        <v/>
      </c>
      <c r="F182" s="610" t="str">
        <f>IFERROR(IF(AND(데이터입력!$AE$2="추경",데이터입력!$AM$2=TRUE),VLOOKUP($A182,데이터입력!$A:$H,5,FALSE),""),"")</f>
        <v/>
      </c>
      <c r="G182" s="610" t="str">
        <f>IFERROR(IF(AND(데이터입력!$AE$2="추경",데이터입력!$AM$2=TRUE),VLOOKUP($A182,데이터입력!$A:$H,6,FALSE),""),"")</f>
        <v/>
      </c>
      <c r="H182" s="611" t="str">
        <f>IFERROR(IF(AND(데이터입력!$AE$2="추경",데이터입력!$AM$2=TRUE),VLOOKUP($A182,데이터입력!$A:$L,7,FALSE),""),"")</f>
        <v/>
      </c>
      <c r="I182" s="611" t="str">
        <f>IFERROR(IF(AND(데이터입력!$AE$2="추경",데이터입력!$AM$2=TRUE),VLOOKUP($A182,데이터입력!$A:$L,8,FALSE)+VLOOKUP($A182,데이터입력!$A:$L,9,FALSE)+VLOOKUP($A182,데이터입력!$A:$L,10,FALSE),""),"")</f>
        <v/>
      </c>
      <c r="J182" s="612" t="s">
        <v>135</v>
      </c>
      <c r="K182" s="612" t="s">
        <v>135</v>
      </c>
      <c r="L182" s="612" t="s">
        <v>135</v>
      </c>
      <c r="M182" s="604"/>
      <c r="N182" s="180">
        <v>380</v>
      </c>
      <c r="O182" s="616" t="str">
        <f>IFERROR(IF(S182="06",데이터입력!$AB$8,IF(S182="07",데이터입력!$AD$8,IF(S182="05",데이터입력!$AF$8,데이터입력!$AB$8))),데이터입력!$AB$8)</f>
        <v>00</v>
      </c>
      <c r="P182" s="617" t="str">
        <f>데이터입력!$AC$9</f>
        <v>일반사업[일반]</v>
      </c>
      <c r="Q182" s="618" t="str">
        <f>IFERROR(IF(데이터입력!$AE$2="추경",VLOOKUP($N182,데이터입력!$A:$H,4,FALSE),""),"")</f>
        <v/>
      </c>
      <c r="R182" s="618" t="str">
        <f>IFERROR(IF(데이터입력!$AE$2="추경",VLOOKUP($N182,데이터입력!$A:$H,2,FALSE),""),"")</f>
        <v/>
      </c>
      <c r="S182" s="618" t="str">
        <f>IFERROR(IF(데이터입력!$AE$2="추경",VLOOKUP($N182,데이터입력!$A:$H,5,FALSE),""),"")</f>
        <v/>
      </c>
      <c r="T182" s="618" t="str">
        <f>IFERROR(IF(데이터입력!$AE$2="추경",VLOOKUP($N182,데이터입력!$A:$H,6,FALSE),""),"")</f>
        <v/>
      </c>
      <c r="U182" s="619" t="str">
        <f>IFERROR(IF(데이터입력!$AE$2="추경",VLOOKUP($N182,데이터입력!$A:$L,8,FALSE)+VLOOKUP($N182,데이터입력!$A:$L,9,FALSE)+VLOOKUP($N182,데이터입력!$A:$L,10,FALSE),""),"")</f>
        <v/>
      </c>
      <c r="V182" s="620" t="s">
        <v>135</v>
      </c>
      <c r="W182" s="620" t="s">
        <v>135</v>
      </c>
      <c r="X182" s="620" t="s">
        <v>135</v>
      </c>
      <c r="Y182" s="601"/>
      <c r="Z182" s="182" t="str">
        <f>데이터입력!$AB$8</f>
        <v>00</v>
      </c>
      <c r="AA182" s="185" t="str">
        <f>데이터입력!$AC$9</f>
        <v>일반사업[일반]</v>
      </c>
      <c r="AB182" s="183" t="str">
        <f>IFERROR(IF(데이터입력!$AE$2="추경",VLOOKUP($A182,#REF!,4,FALSE),""),"")</f>
        <v/>
      </c>
      <c r="AC182" s="183" t="str">
        <f>IFERROR(IF(데이터입력!$AE$2="추경",VLOOKUP($A182,#REF!,5,FALSE),""),"")</f>
        <v/>
      </c>
      <c r="AD182" s="183" t="str">
        <f>IFERROR(IF(데이터입력!$AE$2="추경",VLOOKUP($A182,#REF!,6,FALSE),""),"")</f>
        <v/>
      </c>
      <c r="AE182" s="183" t="str">
        <f>IFERROR(IF(데이터입력!$AE$2="추경",VLOOKUP($A182,#REF!,7,FALSE),""),"")</f>
        <v/>
      </c>
      <c r="AF182" s="183"/>
      <c r="AG182" s="184" t="str">
        <f>IFERROR(IF(데이터입력!$AE$2="추경",VLOOKUP($A182,#REF!,9,FALSE),""),"")</f>
        <v/>
      </c>
      <c r="AH182" s="184" t="str">
        <f>IFERROR(IF(데이터입력!$AE$2="추경",VLOOKUP($A182,#REF!,10,FALSE),""),"")</f>
        <v/>
      </c>
      <c r="AI182" s="184" t="str">
        <f>IFERROR(IF(데이터입력!$AE$2="추경",VLOOKUP($A182,#REF!,11,FALSE),""),"")</f>
        <v/>
      </c>
      <c r="AJ182" s="184" t="str">
        <f>IFERROR(IF(데이터입력!$AE$2="추경",VLOOKUP($A182,#REF!,12,FALSE),""),"")</f>
        <v/>
      </c>
      <c r="AK182" s="184" t="str">
        <f>IFERROR(IF(데이터입력!$AE$2="추경",VLOOKUP($A182,#REF!,13,FALSE),""),"")</f>
        <v/>
      </c>
    </row>
    <row r="183" spans="1:37">
      <c r="A183" s="180">
        <v>181</v>
      </c>
      <c r="B183" s="608" t="str">
        <f>IFERROR(IF(F183="06",데이터입력!$AB$8,IF(F183="07",데이터입력!$AD$8,IF(F183="05",데이터입력!$AF$8,데이터입력!$AB$8))),데이터입력!$AB$8)</f>
        <v>00</v>
      </c>
      <c r="C183" s="609" t="str">
        <f>데이터입력!$AC$9</f>
        <v>일반사업[일반]</v>
      </c>
      <c r="D183" s="610" t="str">
        <f>IFERROR(IF(AND(데이터입력!$AE$2="추경",데이터입력!$AM$2=TRUE),VLOOKUP($A183,데이터입력!$A:$H,4,FALSE),""),"")</f>
        <v/>
      </c>
      <c r="E183" s="610" t="str">
        <f>IFERROR(IF(AND(데이터입력!$AE$2="추경",데이터입력!$AM$2=TRUE),VLOOKUP($A183,데이터입력!$A:$H,2,FALSE),""),"")</f>
        <v/>
      </c>
      <c r="F183" s="610" t="str">
        <f>IFERROR(IF(AND(데이터입력!$AE$2="추경",데이터입력!$AM$2=TRUE),VLOOKUP($A183,데이터입력!$A:$H,5,FALSE),""),"")</f>
        <v/>
      </c>
      <c r="G183" s="610" t="str">
        <f>IFERROR(IF(AND(데이터입력!$AE$2="추경",데이터입력!$AM$2=TRUE),VLOOKUP($A183,데이터입력!$A:$H,6,FALSE),""),"")</f>
        <v/>
      </c>
      <c r="H183" s="611" t="str">
        <f>IFERROR(IF(AND(데이터입력!$AE$2="추경",데이터입력!$AM$2=TRUE),VLOOKUP($A183,데이터입력!$A:$L,7,FALSE),""),"")</f>
        <v/>
      </c>
      <c r="I183" s="611" t="str">
        <f>IFERROR(IF(AND(데이터입력!$AE$2="추경",데이터입력!$AM$2=TRUE),VLOOKUP($A183,데이터입력!$A:$L,8,FALSE)+VLOOKUP($A183,데이터입력!$A:$L,9,FALSE)+VLOOKUP($A183,데이터입력!$A:$L,10,FALSE),""),"")</f>
        <v/>
      </c>
      <c r="J183" s="612" t="s">
        <v>135</v>
      </c>
      <c r="K183" s="612" t="s">
        <v>135</v>
      </c>
      <c r="L183" s="612" t="s">
        <v>135</v>
      </c>
      <c r="M183" s="604"/>
      <c r="N183" s="180">
        <v>381</v>
      </c>
      <c r="O183" s="616" t="str">
        <f>IFERROR(IF(S183="06",데이터입력!$AB$8,IF(S183="07",데이터입력!$AD$8,IF(S183="05",데이터입력!$AF$8,데이터입력!$AB$8))),데이터입력!$AB$8)</f>
        <v>00</v>
      </c>
      <c r="P183" s="617" t="str">
        <f>데이터입력!$AC$9</f>
        <v>일반사업[일반]</v>
      </c>
      <c r="Q183" s="618" t="str">
        <f>IFERROR(IF(데이터입력!$AE$2="추경",VLOOKUP($N183,데이터입력!$A:$H,4,FALSE),""),"")</f>
        <v/>
      </c>
      <c r="R183" s="618" t="str">
        <f>IFERROR(IF(데이터입력!$AE$2="추경",VLOOKUP($N183,데이터입력!$A:$H,2,FALSE),""),"")</f>
        <v/>
      </c>
      <c r="S183" s="618" t="str">
        <f>IFERROR(IF(데이터입력!$AE$2="추경",VLOOKUP($N183,데이터입력!$A:$H,5,FALSE),""),"")</f>
        <v/>
      </c>
      <c r="T183" s="618" t="str">
        <f>IFERROR(IF(데이터입력!$AE$2="추경",VLOOKUP($N183,데이터입력!$A:$H,6,FALSE),""),"")</f>
        <v/>
      </c>
      <c r="U183" s="619" t="str">
        <f>IFERROR(IF(데이터입력!$AE$2="추경",VLOOKUP($N183,데이터입력!$A:$L,8,FALSE)+VLOOKUP($N183,데이터입력!$A:$L,9,FALSE)+VLOOKUP($N183,데이터입력!$A:$L,10,FALSE),""),"")</f>
        <v/>
      </c>
      <c r="V183" s="620" t="s">
        <v>135</v>
      </c>
      <c r="W183" s="620" t="s">
        <v>135</v>
      </c>
      <c r="X183" s="620" t="s">
        <v>135</v>
      </c>
      <c r="Y183" s="601"/>
      <c r="Z183" s="182" t="str">
        <f>데이터입력!$AB$8</f>
        <v>00</v>
      </c>
      <c r="AA183" s="185" t="str">
        <f>데이터입력!$AC$9</f>
        <v>일반사업[일반]</v>
      </c>
      <c r="AB183" s="183" t="str">
        <f>IFERROR(IF(데이터입력!$AE$2="추경",VLOOKUP($A183,#REF!,4,FALSE),""),"")</f>
        <v/>
      </c>
      <c r="AC183" s="183" t="str">
        <f>IFERROR(IF(데이터입력!$AE$2="추경",VLOOKUP($A183,#REF!,5,FALSE),""),"")</f>
        <v/>
      </c>
      <c r="AD183" s="183" t="str">
        <f>IFERROR(IF(데이터입력!$AE$2="추경",VLOOKUP($A183,#REF!,6,FALSE),""),"")</f>
        <v/>
      </c>
      <c r="AE183" s="183" t="str">
        <f>IFERROR(IF(데이터입력!$AE$2="추경",VLOOKUP($A183,#REF!,7,FALSE),""),"")</f>
        <v/>
      </c>
      <c r="AF183" s="183"/>
      <c r="AG183" s="184" t="str">
        <f>IFERROR(IF(데이터입력!$AE$2="추경",VLOOKUP($A183,#REF!,9,FALSE),""),"")</f>
        <v/>
      </c>
      <c r="AH183" s="184" t="str">
        <f>IFERROR(IF(데이터입력!$AE$2="추경",VLOOKUP($A183,#REF!,10,FALSE),""),"")</f>
        <v/>
      </c>
      <c r="AI183" s="184" t="str">
        <f>IFERROR(IF(데이터입력!$AE$2="추경",VLOOKUP($A183,#REF!,11,FALSE),""),"")</f>
        <v/>
      </c>
      <c r="AJ183" s="184" t="str">
        <f>IFERROR(IF(데이터입력!$AE$2="추경",VLOOKUP($A183,#REF!,12,FALSE),""),"")</f>
        <v/>
      </c>
      <c r="AK183" s="184" t="str">
        <f>IFERROR(IF(데이터입력!$AE$2="추경",VLOOKUP($A183,#REF!,13,FALSE),""),"")</f>
        <v/>
      </c>
    </row>
    <row r="184" spans="1:37">
      <c r="A184" s="180">
        <v>182</v>
      </c>
      <c r="B184" s="608" t="str">
        <f>IFERROR(IF(F184="06",데이터입력!$AB$8,IF(F184="07",데이터입력!$AD$8,IF(F184="05",데이터입력!$AF$8,데이터입력!$AB$8))),데이터입력!$AB$8)</f>
        <v>00</v>
      </c>
      <c r="C184" s="609" t="str">
        <f>데이터입력!$AC$9</f>
        <v>일반사업[일반]</v>
      </c>
      <c r="D184" s="610" t="str">
        <f>IFERROR(IF(AND(데이터입력!$AE$2="추경",데이터입력!$AM$2=TRUE),VLOOKUP($A184,데이터입력!$A:$H,4,FALSE),""),"")</f>
        <v/>
      </c>
      <c r="E184" s="610" t="str">
        <f>IFERROR(IF(AND(데이터입력!$AE$2="추경",데이터입력!$AM$2=TRUE),VLOOKUP($A184,데이터입력!$A:$H,2,FALSE),""),"")</f>
        <v/>
      </c>
      <c r="F184" s="610" t="str">
        <f>IFERROR(IF(AND(데이터입력!$AE$2="추경",데이터입력!$AM$2=TRUE),VLOOKUP($A184,데이터입력!$A:$H,5,FALSE),""),"")</f>
        <v/>
      </c>
      <c r="G184" s="610" t="str">
        <f>IFERROR(IF(AND(데이터입력!$AE$2="추경",데이터입력!$AM$2=TRUE),VLOOKUP($A184,데이터입력!$A:$H,6,FALSE),""),"")</f>
        <v/>
      </c>
      <c r="H184" s="611" t="str">
        <f>IFERROR(IF(AND(데이터입력!$AE$2="추경",데이터입력!$AM$2=TRUE),VLOOKUP($A184,데이터입력!$A:$L,7,FALSE),""),"")</f>
        <v/>
      </c>
      <c r="I184" s="611" t="str">
        <f>IFERROR(IF(AND(데이터입력!$AE$2="추경",데이터입력!$AM$2=TRUE),VLOOKUP($A184,데이터입력!$A:$L,8,FALSE)+VLOOKUP($A184,데이터입력!$A:$L,9,FALSE)+VLOOKUP($A184,데이터입력!$A:$L,10,FALSE),""),"")</f>
        <v/>
      </c>
      <c r="J184" s="612" t="s">
        <v>135</v>
      </c>
      <c r="K184" s="612" t="s">
        <v>135</v>
      </c>
      <c r="L184" s="612" t="s">
        <v>135</v>
      </c>
      <c r="M184" s="604"/>
      <c r="N184" s="180">
        <v>382</v>
      </c>
      <c r="O184" s="616" t="str">
        <f>IFERROR(IF(S184="06",데이터입력!$AB$8,IF(S184="07",데이터입력!$AD$8,IF(S184="05",데이터입력!$AF$8,데이터입력!$AB$8))),데이터입력!$AB$8)</f>
        <v>00</v>
      </c>
      <c r="P184" s="617" t="str">
        <f>데이터입력!$AC$9</f>
        <v>일반사업[일반]</v>
      </c>
      <c r="Q184" s="618" t="str">
        <f>IFERROR(IF(데이터입력!$AE$2="추경",VLOOKUP($N184,데이터입력!$A:$H,4,FALSE),""),"")</f>
        <v/>
      </c>
      <c r="R184" s="618" t="str">
        <f>IFERROR(IF(데이터입력!$AE$2="추경",VLOOKUP($N184,데이터입력!$A:$H,2,FALSE),""),"")</f>
        <v/>
      </c>
      <c r="S184" s="618" t="str">
        <f>IFERROR(IF(데이터입력!$AE$2="추경",VLOOKUP($N184,데이터입력!$A:$H,5,FALSE),""),"")</f>
        <v/>
      </c>
      <c r="T184" s="618" t="str">
        <f>IFERROR(IF(데이터입력!$AE$2="추경",VLOOKUP($N184,데이터입력!$A:$H,6,FALSE),""),"")</f>
        <v/>
      </c>
      <c r="U184" s="619" t="str">
        <f>IFERROR(IF(데이터입력!$AE$2="추경",VLOOKUP($N184,데이터입력!$A:$L,8,FALSE)+VLOOKUP($N184,데이터입력!$A:$L,9,FALSE)+VLOOKUP($N184,데이터입력!$A:$L,10,FALSE),""),"")</f>
        <v/>
      </c>
      <c r="V184" s="620" t="s">
        <v>135</v>
      </c>
      <c r="W184" s="620" t="s">
        <v>135</v>
      </c>
      <c r="X184" s="620" t="s">
        <v>135</v>
      </c>
      <c r="Y184" s="601"/>
      <c r="Z184" s="182" t="str">
        <f>데이터입력!$AB$8</f>
        <v>00</v>
      </c>
      <c r="AA184" s="185" t="str">
        <f>데이터입력!$AC$9</f>
        <v>일반사업[일반]</v>
      </c>
      <c r="AB184" s="183" t="str">
        <f>IFERROR(IF(데이터입력!$AE$2="추경",VLOOKUP($A184,#REF!,4,FALSE),""),"")</f>
        <v/>
      </c>
      <c r="AC184" s="183" t="str">
        <f>IFERROR(IF(데이터입력!$AE$2="추경",VLOOKUP($A184,#REF!,5,FALSE),""),"")</f>
        <v/>
      </c>
      <c r="AD184" s="183" t="str">
        <f>IFERROR(IF(데이터입력!$AE$2="추경",VLOOKUP($A184,#REF!,6,FALSE),""),"")</f>
        <v/>
      </c>
      <c r="AE184" s="183" t="str">
        <f>IFERROR(IF(데이터입력!$AE$2="추경",VLOOKUP($A184,#REF!,7,FALSE),""),"")</f>
        <v/>
      </c>
      <c r="AF184" s="183"/>
      <c r="AG184" s="184" t="str">
        <f>IFERROR(IF(데이터입력!$AE$2="추경",VLOOKUP($A184,#REF!,9,FALSE),""),"")</f>
        <v/>
      </c>
      <c r="AH184" s="184" t="str">
        <f>IFERROR(IF(데이터입력!$AE$2="추경",VLOOKUP($A184,#REF!,10,FALSE),""),"")</f>
        <v/>
      </c>
      <c r="AI184" s="184" t="str">
        <f>IFERROR(IF(데이터입력!$AE$2="추경",VLOOKUP($A184,#REF!,11,FALSE),""),"")</f>
        <v/>
      </c>
      <c r="AJ184" s="184" t="str">
        <f>IFERROR(IF(데이터입력!$AE$2="추경",VLOOKUP($A184,#REF!,12,FALSE),""),"")</f>
        <v/>
      </c>
      <c r="AK184" s="184" t="str">
        <f>IFERROR(IF(데이터입력!$AE$2="추경",VLOOKUP($A184,#REF!,13,FALSE),""),"")</f>
        <v/>
      </c>
    </row>
    <row r="185" spans="1:37">
      <c r="A185" s="180">
        <v>183</v>
      </c>
      <c r="B185" s="608" t="str">
        <f>IFERROR(IF(F185="06",데이터입력!$AB$8,IF(F185="07",데이터입력!$AD$8,IF(F185="05",데이터입력!$AF$8,데이터입력!$AB$8))),데이터입력!$AB$8)</f>
        <v>00</v>
      </c>
      <c r="C185" s="609" t="str">
        <f>데이터입력!$AC$9</f>
        <v>일반사업[일반]</v>
      </c>
      <c r="D185" s="610" t="str">
        <f>IFERROR(IF(AND(데이터입력!$AE$2="추경",데이터입력!$AM$2=TRUE),VLOOKUP($A185,데이터입력!$A:$H,4,FALSE),""),"")</f>
        <v/>
      </c>
      <c r="E185" s="610" t="str">
        <f>IFERROR(IF(AND(데이터입력!$AE$2="추경",데이터입력!$AM$2=TRUE),VLOOKUP($A185,데이터입력!$A:$H,2,FALSE),""),"")</f>
        <v/>
      </c>
      <c r="F185" s="610" t="str">
        <f>IFERROR(IF(AND(데이터입력!$AE$2="추경",데이터입력!$AM$2=TRUE),VLOOKUP($A185,데이터입력!$A:$H,5,FALSE),""),"")</f>
        <v/>
      </c>
      <c r="G185" s="610" t="str">
        <f>IFERROR(IF(AND(데이터입력!$AE$2="추경",데이터입력!$AM$2=TRUE),VLOOKUP($A185,데이터입력!$A:$H,6,FALSE),""),"")</f>
        <v/>
      </c>
      <c r="H185" s="611" t="str">
        <f>IFERROR(IF(AND(데이터입력!$AE$2="추경",데이터입력!$AM$2=TRUE),VLOOKUP($A185,데이터입력!$A:$L,7,FALSE),""),"")</f>
        <v/>
      </c>
      <c r="I185" s="611" t="str">
        <f>IFERROR(IF(AND(데이터입력!$AE$2="추경",데이터입력!$AM$2=TRUE),VLOOKUP($A185,데이터입력!$A:$L,8,FALSE)+VLOOKUP($A185,데이터입력!$A:$L,9,FALSE)+VLOOKUP($A185,데이터입력!$A:$L,10,FALSE),""),"")</f>
        <v/>
      </c>
      <c r="J185" s="612" t="s">
        <v>135</v>
      </c>
      <c r="K185" s="612" t="s">
        <v>135</v>
      </c>
      <c r="L185" s="612" t="s">
        <v>135</v>
      </c>
      <c r="M185" s="604"/>
      <c r="N185" s="180">
        <v>383</v>
      </c>
      <c r="O185" s="616" t="str">
        <f>IFERROR(IF(S185="06",데이터입력!$AB$8,IF(S185="07",데이터입력!$AD$8,IF(S185="05",데이터입력!$AF$8,데이터입력!$AB$8))),데이터입력!$AB$8)</f>
        <v>00</v>
      </c>
      <c r="P185" s="617" t="str">
        <f>데이터입력!$AC$9</f>
        <v>일반사업[일반]</v>
      </c>
      <c r="Q185" s="618" t="str">
        <f>IFERROR(IF(데이터입력!$AE$2="추경",VLOOKUP($N185,데이터입력!$A:$H,4,FALSE),""),"")</f>
        <v/>
      </c>
      <c r="R185" s="618" t="str">
        <f>IFERROR(IF(데이터입력!$AE$2="추경",VLOOKUP($N185,데이터입력!$A:$H,2,FALSE),""),"")</f>
        <v/>
      </c>
      <c r="S185" s="618" t="str">
        <f>IFERROR(IF(데이터입력!$AE$2="추경",VLOOKUP($N185,데이터입력!$A:$H,5,FALSE),""),"")</f>
        <v/>
      </c>
      <c r="T185" s="618" t="str">
        <f>IFERROR(IF(데이터입력!$AE$2="추경",VLOOKUP($N185,데이터입력!$A:$H,6,FALSE),""),"")</f>
        <v/>
      </c>
      <c r="U185" s="619" t="str">
        <f>IFERROR(IF(데이터입력!$AE$2="추경",VLOOKUP($N185,데이터입력!$A:$L,8,FALSE)+VLOOKUP($N185,데이터입력!$A:$L,9,FALSE)+VLOOKUP($N185,데이터입력!$A:$L,10,FALSE),""),"")</f>
        <v/>
      </c>
      <c r="V185" s="620" t="s">
        <v>135</v>
      </c>
      <c r="W185" s="620" t="s">
        <v>135</v>
      </c>
      <c r="X185" s="620" t="s">
        <v>135</v>
      </c>
      <c r="Y185" s="601"/>
      <c r="Z185" s="182" t="str">
        <f>데이터입력!$AB$8</f>
        <v>00</v>
      </c>
      <c r="AA185" s="185" t="str">
        <f>데이터입력!$AC$9</f>
        <v>일반사업[일반]</v>
      </c>
      <c r="AB185" s="183" t="str">
        <f>IFERROR(IF(데이터입력!$AE$2="추경",VLOOKUP($A185,#REF!,4,FALSE),""),"")</f>
        <v/>
      </c>
      <c r="AC185" s="183" t="str">
        <f>IFERROR(IF(데이터입력!$AE$2="추경",VLOOKUP($A185,#REF!,5,FALSE),""),"")</f>
        <v/>
      </c>
      <c r="AD185" s="183" t="str">
        <f>IFERROR(IF(데이터입력!$AE$2="추경",VLOOKUP($A185,#REF!,6,FALSE),""),"")</f>
        <v/>
      </c>
      <c r="AE185" s="183" t="str">
        <f>IFERROR(IF(데이터입력!$AE$2="추경",VLOOKUP($A185,#REF!,7,FALSE),""),"")</f>
        <v/>
      </c>
      <c r="AF185" s="183"/>
      <c r="AG185" s="184" t="str">
        <f>IFERROR(IF(데이터입력!$AE$2="추경",VLOOKUP($A185,#REF!,9,FALSE),""),"")</f>
        <v/>
      </c>
      <c r="AH185" s="184" t="str">
        <f>IFERROR(IF(데이터입력!$AE$2="추경",VLOOKUP($A185,#REF!,10,FALSE),""),"")</f>
        <v/>
      </c>
      <c r="AI185" s="184" t="str">
        <f>IFERROR(IF(데이터입력!$AE$2="추경",VLOOKUP($A185,#REF!,11,FALSE),""),"")</f>
        <v/>
      </c>
      <c r="AJ185" s="184" t="str">
        <f>IFERROR(IF(데이터입력!$AE$2="추경",VLOOKUP($A185,#REF!,12,FALSE),""),"")</f>
        <v/>
      </c>
      <c r="AK185" s="184" t="str">
        <f>IFERROR(IF(데이터입력!$AE$2="추경",VLOOKUP($A185,#REF!,13,FALSE),""),"")</f>
        <v/>
      </c>
    </row>
    <row r="186" spans="1:37">
      <c r="A186" s="180">
        <v>184</v>
      </c>
      <c r="B186" s="608" t="str">
        <f>IFERROR(IF(F186="06",데이터입력!$AB$8,IF(F186="07",데이터입력!$AD$8,IF(F186="05",데이터입력!$AF$8,데이터입력!$AB$8))),데이터입력!$AB$8)</f>
        <v>00</v>
      </c>
      <c r="C186" s="609" t="str">
        <f>데이터입력!$AC$9</f>
        <v>일반사업[일반]</v>
      </c>
      <c r="D186" s="610" t="str">
        <f>IFERROR(IF(AND(데이터입력!$AE$2="추경",데이터입력!$AM$2=TRUE),VLOOKUP($A186,데이터입력!$A:$H,4,FALSE),""),"")</f>
        <v/>
      </c>
      <c r="E186" s="610" t="str">
        <f>IFERROR(IF(AND(데이터입력!$AE$2="추경",데이터입력!$AM$2=TRUE),VLOOKUP($A186,데이터입력!$A:$H,2,FALSE),""),"")</f>
        <v/>
      </c>
      <c r="F186" s="610" t="str">
        <f>IFERROR(IF(AND(데이터입력!$AE$2="추경",데이터입력!$AM$2=TRUE),VLOOKUP($A186,데이터입력!$A:$H,5,FALSE),""),"")</f>
        <v/>
      </c>
      <c r="G186" s="610" t="str">
        <f>IFERROR(IF(AND(데이터입력!$AE$2="추경",데이터입력!$AM$2=TRUE),VLOOKUP($A186,데이터입력!$A:$H,6,FALSE),""),"")</f>
        <v/>
      </c>
      <c r="H186" s="611" t="str">
        <f>IFERROR(IF(AND(데이터입력!$AE$2="추경",데이터입력!$AM$2=TRUE),VLOOKUP($A186,데이터입력!$A:$L,7,FALSE),""),"")</f>
        <v/>
      </c>
      <c r="I186" s="611" t="str">
        <f>IFERROR(IF(AND(데이터입력!$AE$2="추경",데이터입력!$AM$2=TRUE),VLOOKUP($A186,데이터입력!$A:$L,8,FALSE)+VLOOKUP($A186,데이터입력!$A:$L,9,FALSE)+VLOOKUP($A186,데이터입력!$A:$L,10,FALSE),""),"")</f>
        <v/>
      </c>
      <c r="J186" s="612" t="s">
        <v>135</v>
      </c>
      <c r="K186" s="612" t="s">
        <v>135</v>
      </c>
      <c r="L186" s="612" t="s">
        <v>135</v>
      </c>
      <c r="M186" s="604"/>
      <c r="N186" s="180">
        <v>384</v>
      </c>
      <c r="O186" s="616" t="str">
        <f>IFERROR(IF(S186="06",데이터입력!$AB$8,IF(S186="07",데이터입력!$AD$8,IF(S186="05",데이터입력!$AF$8,데이터입력!$AB$8))),데이터입력!$AB$8)</f>
        <v>00</v>
      </c>
      <c r="P186" s="617" t="str">
        <f>데이터입력!$AC$9</f>
        <v>일반사업[일반]</v>
      </c>
      <c r="Q186" s="618" t="str">
        <f>IFERROR(IF(데이터입력!$AE$2="추경",VLOOKUP($N186,데이터입력!$A:$H,4,FALSE),""),"")</f>
        <v/>
      </c>
      <c r="R186" s="618" t="str">
        <f>IFERROR(IF(데이터입력!$AE$2="추경",VLOOKUP($N186,데이터입력!$A:$H,2,FALSE),""),"")</f>
        <v/>
      </c>
      <c r="S186" s="618" t="str">
        <f>IFERROR(IF(데이터입력!$AE$2="추경",VLOOKUP($N186,데이터입력!$A:$H,5,FALSE),""),"")</f>
        <v/>
      </c>
      <c r="T186" s="618" t="str">
        <f>IFERROR(IF(데이터입력!$AE$2="추경",VLOOKUP($N186,데이터입력!$A:$H,6,FALSE),""),"")</f>
        <v/>
      </c>
      <c r="U186" s="619" t="str">
        <f>IFERROR(IF(데이터입력!$AE$2="추경",VLOOKUP($N186,데이터입력!$A:$L,8,FALSE)+VLOOKUP($N186,데이터입력!$A:$L,9,FALSE)+VLOOKUP($N186,데이터입력!$A:$L,10,FALSE),""),"")</f>
        <v/>
      </c>
      <c r="V186" s="620" t="s">
        <v>135</v>
      </c>
      <c r="W186" s="620" t="s">
        <v>135</v>
      </c>
      <c r="X186" s="620" t="s">
        <v>135</v>
      </c>
      <c r="Y186" s="601"/>
      <c r="Z186" s="182" t="str">
        <f>데이터입력!$AB$8</f>
        <v>00</v>
      </c>
      <c r="AA186" s="185" t="str">
        <f>데이터입력!$AC$9</f>
        <v>일반사업[일반]</v>
      </c>
      <c r="AB186" s="183" t="str">
        <f>IFERROR(IF(데이터입력!$AE$2="추경",VLOOKUP($A186,#REF!,4,FALSE),""),"")</f>
        <v/>
      </c>
      <c r="AC186" s="183" t="str">
        <f>IFERROR(IF(데이터입력!$AE$2="추경",VLOOKUP($A186,#REF!,5,FALSE),""),"")</f>
        <v/>
      </c>
      <c r="AD186" s="183" t="str">
        <f>IFERROR(IF(데이터입력!$AE$2="추경",VLOOKUP($A186,#REF!,6,FALSE),""),"")</f>
        <v/>
      </c>
      <c r="AE186" s="183" t="str">
        <f>IFERROR(IF(데이터입력!$AE$2="추경",VLOOKUP($A186,#REF!,7,FALSE),""),"")</f>
        <v/>
      </c>
      <c r="AF186" s="183"/>
      <c r="AG186" s="184" t="str">
        <f>IFERROR(IF(데이터입력!$AE$2="추경",VLOOKUP($A186,#REF!,9,FALSE),""),"")</f>
        <v/>
      </c>
      <c r="AH186" s="184" t="str">
        <f>IFERROR(IF(데이터입력!$AE$2="추경",VLOOKUP($A186,#REF!,10,FALSE),""),"")</f>
        <v/>
      </c>
      <c r="AI186" s="184" t="str">
        <f>IFERROR(IF(데이터입력!$AE$2="추경",VLOOKUP($A186,#REF!,11,FALSE),""),"")</f>
        <v/>
      </c>
      <c r="AJ186" s="184" t="str">
        <f>IFERROR(IF(데이터입력!$AE$2="추경",VLOOKUP($A186,#REF!,12,FALSE),""),"")</f>
        <v/>
      </c>
      <c r="AK186" s="184" t="str">
        <f>IFERROR(IF(데이터입력!$AE$2="추경",VLOOKUP($A186,#REF!,13,FALSE),""),"")</f>
        <v/>
      </c>
    </row>
    <row r="187" spans="1:37">
      <c r="A187" s="180">
        <v>185</v>
      </c>
      <c r="B187" s="608" t="str">
        <f>IFERROR(IF(F187="06",데이터입력!$AB$8,IF(F187="07",데이터입력!$AD$8,IF(F187="05",데이터입력!$AF$8,데이터입력!$AB$8))),데이터입력!$AB$8)</f>
        <v>00</v>
      </c>
      <c r="C187" s="609" t="str">
        <f>데이터입력!$AC$9</f>
        <v>일반사업[일반]</v>
      </c>
      <c r="D187" s="610" t="str">
        <f>IFERROR(IF(AND(데이터입력!$AE$2="추경",데이터입력!$AM$2=TRUE),VLOOKUP($A187,데이터입력!$A:$H,4,FALSE),""),"")</f>
        <v/>
      </c>
      <c r="E187" s="610" t="str">
        <f>IFERROR(IF(AND(데이터입력!$AE$2="추경",데이터입력!$AM$2=TRUE),VLOOKUP($A187,데이터입력!$A:$H,2,FALSE),""),"")</f>
        <v/>
      </c>
      <c r="F187" s="610" t="str">
        <f>IFERROR(IF(AND(데이터입력!$AE$2="추경",데이터입력!$AM$2=TRUE),VLOOKUP($A187,데이터입력!$A:$H,5,FALSE),""),"")</f>
        <v/>
      </c>
      <c r="G187" s="610" t="str">
        <f>IFERROR(IF(AND(데이터입력!$AE$2="추경",데이터입력!$AM$2=TRUE),VLOOKUP($A187,데이터입력!$A:$H,6,FALSE),""),"")</f>
        <v/>
      </c>
      <c r="H187" s="611" t="str">
        <f>IFERROR(IF(AND(데이터입력!$AE$2="추경",데이터입력!$AM$2=TRUE),VLOOKUP($A187,데이터입력!$A:$L,7,FALSE),""),"")</f>
        <v/>
      </c>
      <c r="I187" s="611" t="str">
        <f>IFERROR(IF(AND(데이터입력!$AE$2="추경",데이터입력!$AM$2=TRUE),VLOOKUP($A187,데이터입력!$A:$L,8,FALSE)+VLOOKUP($A187,데이터입력!$A:$L,9,FALSE)+VLOOKUP($A187,데이터입력!$A:$L,10,FALSE),""),"")</f>
        <v/>
      </c>
      <c r="J187" s="612" t="s">
        <v>135</v>
      </c>
      <c r="K187" s="612" t="s">
        <v>135</v>
      </c>
      <c r="L187" s="612" t="s">
        <v>135</v>
      </c>
      <c r="M187" s="604"/>
      <c r="N187" s="180">
        <v>385</v>
      </c>
      <c r="O187" s="616" t="str">
        <f>IFERROR(IF(S187="06",데이터입력!$AB$8,IF(S187="07",데이터입력!$AD$8,IF(S187="05",데이터입력!$AF$8,데이터입력!$AB$8))),데이터입력!$AB$8)</f>
        <v>00</v>
      </c>
      <c r="P187" s="617" t="str">
        <f>데이터입력!$AC$9</f>
        <v>일반사업[일반]</v>
      </c>
      <c r="Q187" s="618" t="str">
        <f>IFERROR(IF(데이터입력!$AE$2="추경",VLOOKUP($N187,데이터입력!$A:$H,4,FALSE),""),"")</f>
        <v/>
      </c>
      <c r="R187" s="618" t="str">
        <f>IFERROR(IF(데이터입력!$AE$2="추경",VLOOKUP($N187,데이터입력!$A:$H,2,FALSE),""),"")</f>
        <v/>
      </c>
      <c r="S187" s="618" t="str">
        <f>IFERROR(IF(데이터입력!$AE$2="추경",VLOOKUP($N187,데이터입력!$A:$H,5,FALSE),""),"")</f>
        <v/>
      </c>
      <c r="T187" s="618" t="str">
        <f>IFERROR(IF(데이터입력!$AE$2="추경",VLOOKUP($N187,데이터입력!$A:$H,6,FALSE),""),"")</f>
        <v/>
      </c>
      <c r="U187" s="619" t="str">
        <f>IFERROR(IF(데이터입력!$AE$2="추경",VLOOKUP($N187,데이터입력!$A:$L,8,FALSE)+VLOOKUP($N187,데이터입력!$A:$L,9,FALSE)+VLOOKUP($N187,데이터입력!$A:$L,10,FALSE),""),"")</f>
        <v/>
      </c>
      <c r="V187" s="620" t="s">
        <v>135</v>
      </c>
      <c r="W187" s="620" t="s">
        <v>135</v>
      </c>
      <c r="X187" s="620" t="s">
        <v>135</v>
      </c>
      <c r="Y187" s="601"/>
      <c r="Z187" s="182" t="str">
        <f>데이터입력!$AB$8</f>
        <v>00</v>
      </c>
      <c r="AA187" s="185" t="str">
        <f>데이터입력!$AC$9</f>
        <v>일반사업[일반]</v>
      </c>
      <c r="AB187" s="183" t="str">
        <f>IFERROR(IF(데이터입력!$AE$2="추경",VLOOKUP($A187,#REF!,4,FALSE),""),"")</f>
        <v/>
      </c>
      <c r="AC187" s="183" t="str">
        <f>IFERROR(IF(데이터입력!$AE$2="추경",VLOOKUP($A187,#REF!,5,FALSE),""),"")</f>
        <v/>
      </c>
      <c r="AD187" s="183" t="str">
        <f>IFERROR(IF(데이터입력!$AE$2="추경",VLOOKUP($A187,#REF!,6,FALSE),""),"")</f>
        <v/>
      </c>
      <c r="AE187" s="183" t="str">
        <f>IFERROR(IF(데이터입력!$AE$2="추경",VLOOKUP($A187,#REF!,7,FALSE),""),"")</f>
        <v/>
      </c>
      <c r="AF187" s="183"/>
      <c r="AG187" s="184" t="str">
        <f>IFERROR(IF(데이터입력!$AE$2="추경",VLOOKUP($A187,#REF!,9,FALSE),""),"")</f>
        <v/>
      </c>
      <c r="AH187" s="184" t="str">
        <f>IFERROR(IF(데이터입력!$AE$2="추경",VLOOKUP($A187,#REF!,10,FALSE),""),"")</f>
        <v/>
      </c>
      <c r="AI187" s="184" t="str">
        <f>IFERROR(IF(데이터입력!$AE$2="추경",VLOOKUP($A187,#REF!,11,FALSE),""),"")</f>
        <v/>
      </c>
      <c r="AJ187" s="184" t="str">
        <f>IFERROR(IF(데이터입력!$AE$2="추경",VLOOKUP($A187,#REF!,12,FALSE),""),"")</f>
        <v/>
      </c>
      <c r="AK187" s="184" t="str">
        <f>IFERROR(IF(데이터입력!$AE$2="추경",VLOOKUP($A187,#REF!,13,FALSE),""),"")</f>
        <v/>
      </c>
    </row>
    <row r="188" spans="1:37">
      <c r="A188" s="180">
        <v>186</v>
      </c>
      <c r="B188" s="608" t="str">
        <f>IFERROR(IF(F188="06",데이터입력!$AB$8,IF(F188="07",데이터입력!$AD$8,IF(F188="05",데이터입력!$AF$8,데이터입력!$AB$8))),데이터입력!$AB$8)</f>
        <v>00</v>
      </c>
      <c r="C188" s="609" t="str">
        <f>데이터입력!$AC$9</f>
        <v>일반사업[일반]</v>
      </c>
      <c r="D188" s="610" t="str">
        <f>IFERROR(IF(AND(데이터입력!$AE$2="추경",데이터입력!$AM$2=TRUE),VLOOKUP($A188,데이터입력!$A:$H,4,FALSE),""),"")</f>
        <v/>
      </c>
      <c r="E188" s="610" t="str">
        <f>IFERROR(IF(AND(데이터입력!$AE$2="추경",데이터입력!$AM$2=TRUE),VLOOKUP($A188,데이터입력!$A:$H,2,FALSE),""),"")</f>
        <v/>
      </c>
      <c r="F188" s="610" t="str">
        <f>IFERROR(IF(AND(데이터입력!$AE$2="추경",데이터입력!$AM$2=TRUE),VLOOKUP($A188,데이터입력!$A:$H,5,FALSE),""),"")</f>
        <v/>
      </c>
      <c r="G188" s="610" t="str">
        <f>IFERROR(IF(AND(데이터입력!$AE$2="추경",데이터입력!$AM$2=TRUE),VLOOKUP($A188,데이터입력!$A:$H,6,FALSE),""),"")</f>
        <v/>
      </c>
      <c r="H188" s="611" t="str">
        <f>IFERROR(IF(AND(데이터입력!$AE$2="추경",데이터입력!$AM$2=TRUE),VLOOKUP($A188,데이터입력!$A:$L,7,FALSE),""),"")</f>
        <v/>
      </c>
      <c r="I188" s="611" t="str">
        <f>IFERROR(IF(AND(데이터입력!$AE$2="추경",데이터입력!$AM$2=TRUE),VLOOKUP($A188,데이터입력!$A:$L,8,FALSE)+VLOOKUP($A188,데이터입력!$A:$L,9,FALSE)+VLOOKUP($A188,데이터입력!$A:$L,10,FALSE),""),"")</f>
        <v/>
      </c>
      <c r="J188" s="612" t="s">
        <v>135</v>
      </c>
      <c r="K188" s="612" t="s">
        <v>135</v>
      </c>
      <c r="L188" s="612" t="s">
        <v>135</v>
      </c>
      <c r="M188" s="604"/>
      <c r="N188" s="180">
        <v>386</v>
      </c>
      <c r="O188" s="616" t="str">
        <f>IFERROR(IF(S188="06",데이터입력!$AB$8,IF(S188="07",데이터입력!$AD$8,IF(S188="05",데이터입력!$AF$8,데이터입력!$AB$8))),데이터입력!$AB$8)</f>
        <v>00</v>
      </c>
      <c r="P188" s="617" t="str">
        <f>데이터입력!$AC$9</f>
        <v>일반사업[일반]</v>
      </c>
      <c r="Q188" s="618" t="str">
        <f>IFERROR(IF(데이터입력!$AE$2="추경",VLOOKUP($N188,데이터입력!$A:$H,4,FALSE),""),"")</f>
        <v/>
      </c>
      <c r="R188" s="618" t="str">
        <f>IFERROR(IF(데이터입력!$AE$2="추경",VLOOKUP($N188,데이터입력!$A:$H,2,FALSE),""),"")</f>
        <v/>
      </c>
      <c r="S188" s="618" t="str">
        <f>IFERROR(IF(데이터입력!$AE$2="추경",VLOOKUP($N188,데이터입력!$A:$H,5,FALSE),""),"")</f>
        <v/>
      </c>
      <c r="T188" s="618" t="str">
        <f>IFERROR(IF(데이터입력!$AE$2="추경",VLOOKUP($N188,데이터입력!$A:$H,6,FALSE),""),"")</f>
        <v/>
      </c>
      <c r="U188" s="619" t="str">
        <f>IFERROR(IF(데이터입력!$AE$2="추경",VLOOKUP($N188,데이터입력!$A:$L,8,FALSE)+VLOOKUP($N188,데이터입력!$A:$L,9,FALSE)+VLOOKUP($N188,데이터입력!$A:$L,10,FALSE),""),"")</f>
        <v/>
      </c>
      <c r="V188" s="620" t="s">
        <v>135</v>
      </c>
      <c r="W188" s="620" t="s">
        <v>135</v>
      </c>
      <c r="X188" s="620" t="s">
        <v>135</v>
      </c>
      <c r="Y188" s="601"/>
      <c r="Z188" s="182" t="str">
        <f>데이터입력!$AB$8</f>
        <v>00</v>
      </c>
      <c r="AA188" s="185" t="str">
        <f>데이터입력!$AC$9</f>
        <v>일반사업[일반]</v>
      </c>
      <c r="AB188" s="183" t="str">
        <f>IFERROR(IF(데이터입력!$AE$2="추경",VLOOKUP($A188,#REF!,4,FALSE),""),"")</f>
        <v/>
      </c>
      <c r="AC188" s="183" t="str">
        <f>IFERROR(IF(데이터입력!$AE$2="추경",VLOOKUP($A188,#REF!,5,FALSE),""),"")</f>
        <v/>
      </c>
      <c r="AD188" s="183" t="str">
        <f>IFERROR(IF(데이터입력!$AE$2="추경",VLOOKUP($A188,#REF!,6,FALSE),""),"")</f>
        <v/>
      </c>
      <c r="AE188" s="183" t="str">
        <f>IFERROR(IF(데이터입력!$AE$2="추경",VLOOKUP($A188,#REF!,7,FALSE),""),"")</f>
        <v/>
      </c>
      <c r="AF188" s="183"/>
      <c r="AG188" s="184" t="str">
        <f>IFERROR(IF(데이터입력!$AE$2="추경",VLOOKUP($A188,#REF!,9,FALSE),""),"")</f>
        <v/>
      </c>
      <c r="AH188" s="184" t="str">
        <f>IFERROR(IF(데이터입력!$AE$2="추경",VLOOKUP($A188,#REF!,10,FALSE),""),"")</f>
        <v/>
      </c>
      <c r="AI188" s="184" t="str">
        <f>IFERROR(IF(데이터입력!$AE$2="추경",VLOOKUP($A188,#REF!,11,FALSE),""),"")</f>
        <v/>
      </c>
      <c r="AJ188" s="184" t="str">
        <f>IFERROR(IF(데이터입력!$AE$2="추경",VLOOKUP($A188,#REF!,12,FALSE),""),"")</f>
        <v/>
      </c>
      <c r="AK188" s="184" t="str">
        <f>IFERROR(IF(데이터입력!$AE$2="추경",VLOOKUP($A188,#REF!,13,FALSE),""),"")</f>
        <v/>
      </c>
    </row>
    <row r="189" spans="1:37">
      <c r="A189" s="180">
        <v>187</v>
      </c>
      <c r="B189" s="608" t="str">
        <f>IFERROR(IF(F189="06",데이터입력!$AB$8,IF(F189="07",데이터입력!$AD$8,IF(F189="05",데이터입력!$AF$8,데이터입력!$AB$8))),데이터입력!$AB$8)</f>
        <v>00</v>
      </c>
      <c r="C189" s="609" t="str">
        <f>데이터입력!$AC$9</f>
        <v>일반사업[일반]</v>
      </c>
      <c r="D189" s="610" t="str">
        <f>IFERROR(IF(AND(데이터입력!$AE$2="추경",데이터입력!$AM$2=TRUE),VLOOKUP($A189,데이터입력!$A:$H,4,FALSE),""),"")</f>
        <v/>
      </c>
      <c r="E189" s="610" t="str">
        <f>IFERROR(IF(AND(데이터입력!$AE$2="추경",데이터입력!$AM$2=TRUE),VLOOKUP($A189,데이터입력!$A:$H,2,FALSE),""),"")</f>
        <v/>
      </c>
      <c r="F189" s="610" t="str">
        <f>IFERROR(IF(AND(데이터입력!$AE$2="추경",데이터입력!$AM$2=TRUE),VLOOKUP($A189,데이터입력!$A:$H,5,FALSE),""),"")</f>
        <v/>
      </c>
      <c r="G189" s="610" t="str">
        <f>IFERROR(IF(AND(데이터입력!$AE$2="추경",데이터입력!$AM$2=TRUE),VLOOKUP($A189,데이터입력!$A:$H,6,FALSE),""),"")</f>
        <v/>
      </c>
      <c r="H189" s="611" t="str">
        <f>IFERROR(IF(AND(데이터입력!$AE$2="추경",데이터입력!$AM$2=TRUE),VLOOKUP($A189,데이터입력!$A:$L,7,FALSE),""),"")</f>
        <v/>
      </c>
      <c r="I189" s="611" t="str">
        <f>IFERROR(IF(AND(데이터입력!$AE$2="추경",데이터입력!$AM$2=TRUE),VLOOKUP($A189,데이터입력!$A:$L,8,FALSE)+VLOOKUP($A189,데이터입력!$A:$L,9,FALSE)+VLOOKUP($A189,데이터입력!$A:$L,10,FALSE),""),"")</f>
        <v/>
      </c>
      <c r="J189" s="612" t="s">
        <v>135</v>
      </c>
      <c r="K189" s="612" t="s">
        <v>135</v>
      </c>
      <c r="L189" s="612" t="s">
        <v>135</v>
      </c>
      <c r="M189" s="604"/>
      <c r="N189" s="180">
        <v>387</v>
      </c>
      <c r="O189" s="616" t="str">
        <f>IFERROR(IF(S189="06",데이터입력!$AB$8,IF(S189="07",데이터입력!$AD$8,IF(S189="05",데이터입력!$AF$8,데이터입력!$AB$8))),데이터입력!$AB$8)</f>
        <v>00</v>
      </c>
      <c r="P189" s="617" t="str">
        <f>데이터입력!$AC$9</f>
        <v>일반사업[일반]</v>
      </c>
      <c r="Q189" s="618" t="str">
        <f>IFERROR(IF(데이터입력!$AE$2="추경",VLOOKUP($N189,데이터입력!$A:$H,4,FALSE),""),"")</f>
        <v/>
      </c>
      <c r="R189" s="618" t="str">
        <f>IFERROR(IF(데이터입력!$AE$2="추경",VLOOKUP($N189,데이터입력!$A:$H,2,FALSE),""),"")</f>
        <v/>
      </c>
      <c r="S189" s="618" t="str">
        <f>IFERROR(IF(데이터입력!$AE$2="추경",VLOOKUP($N189,데이터입력!$A:$H,5,FALSE),""),"")</f>
        <v/>
      </c>
      <c r="T189" s="618" t="str">
        <f>IFERROR(IF(데이터입력!$AE$2="추경",VLOOKUP($N189,데이터입력!$A:$H,6,FALSE),""),"")</f>
        <v/>
      </c>
      <c r="U189" s="619" t="str">
        <f>IFERROR(IF(데이터입력!$AE$2="추경",VLOOKUP($N189,데이터입력!$A:$L,8,FALSE)+VLOOKUP($N189,데이터입력!$A:$L,9,FALSE)+VLOOKUP($N189,데이터입력!$A:$L,10,FALSE),""),"")</f>
        <v/>
      </c>
      <c r="V189" s="620" t="s">
        <v>135</v>
      </c>
      <c r="W189" s="620" t="s">
        <v>135</v>
      </c>
      <c r="X189" s="620" t="s">
        <v>135</v>
      </c>
      <c r="Y189" s="601"/>
      <c r="Z189" s="182" t="str">
        <f>데이터입력!$AB$8</f>
        <v>00</v>
      </c>
      <c r="AA189" s="185" t="str">
        <f>데이터입력!$AC$9</f>
        <v>일반사업[일반]</v>
      </c>
      <c r="AB189" s="183" t="str">
        <f>IFERROR(IF(데이터입력!$AE$2="추경",VLOOKUP($A189,#REF!,4,FALSE),""),"")</f>
        <v/>
      </c>
      <c r="AC189" s="183" t="str">
        <f>IFERROR(IF(데이터입력!$AE$2="추경",VLOOKUP($A189,#REF!,5,FALSE),""),"")</f>
        <v/>
      </c>
      <c r="AD189" s="183" t="str">
        <f>IFERROR(IF(데이터입력!$AE$2="추경",VLOOKUP($A189,#REF!,6,FALSE),""),"")</f>
        <v/>
      </c>
      <c r="AE189" s="183" t="str">
        <f>IFERROR(IF(데이터입력!$AE$2="추경",VLOOKUP($A189,#REF!,7,FALSE),""),"")</f>
        <v/>
      </c>
      <c r="AF189" s="183"/>
      <c r="AG189" s="184" t="str">
        <f>IFERROR(IF(데이터입력!$AE$2="추경",VLOOKUP($A189,#REF!,9,FALSE),""),"")</f>
        <v/>
      </c>
      <c r="AH189" s="184" t="str">
        <f>IFERROR(IF(데이터입력!$AE$2="추경",VLOOKUP($A189,#REF!,10,FALSE),""),"")</f>
        <v/>
      </c>
      <c r="AI189" s="184" t="str">
        <f>IFERROR(IF(데이터입력!$AE$2="추경",VLOOKUP($A189,#REF!,11,FALSE),""),"")</f>
        <v/>
      </c>
      <c r="AJ189" s="184" t="str">
        <f>IFERROR(IF(데이터입력!$AE$2="추경",VLOOKUP($A189,#REF!,12,FALSE),""),"")</f>
        <v/>
      </c>
      <c r="AK189" s="184" t="str">
        <f>IFERROR(IF(데이터입력!$AE$2="추경",VLOOKUP($A189,#REF!,13,FALSE),""),"")</f>
        <v/>
      </c>
    </row>
    <row r="190" spans="1:37">
      <c r="A190" s="180">
        <v>188</v>
      </c>
      <c r="B190" s="608" t="str">
        <f>IFERROR(IF(F190="06",데이터입력!$AB$8,IF(F190="07",데이터입력!$AD$8,IF(F190="05",데이터입력!$AF$8,데이터입력!$AB$8))),데이터입력!$AB$8)</f>
        <v>00</v>
      </c>
      <c r="C190" s="609" t="str">
        <f>데이터입력!$AC$9</f>
        <v>일반사업[일반]</v>
      </c>
      <c r="D190" s="610" t="str">
        <f>IFERROR(IF(AND(데이터입력!$AE$2="추경",데이터입력!$AM$2=TRUE),VLOOKUP($A190,데이터입력!$A:$H,4,FALSE),""),"")</f>
        <v/>
      </c>
      <c r="E190" s="610" t="str">
        <f>IFERROR(IF(AND(데이터입력!$AE$2="추경",데이터입력!$AM$2=TRUE),VLOOKUP($A190,데이터입력!$A:$H,2,FALSE),""),"")</f>
        <v/>
      </c>
      <c r="F190" s="610" t="str">
        <f>IFERROR(IF(AND(데이터입력!$AE$2="추경",데이터입력!$AM$2=TRUE),VLOOKUP($A190,데이터입력!$A:$H,5,FALSE),""),"")</f>
        <v/>
      </c>
      <c r="G190" s="610" t="str">
        <f>IFERROR(IF(AND(데이터입력!$AE$2="추경",데이터입력!$AM$2=TRUE),VLOOKUP($A190,데이터입력!$A:$H,6,FALSE),""),"")</f>
        <v/>
      </c>
      <c r="H190" s="611" t="str">
        <f>IFERROR(IF(AND(데이터입력!$AE$2="추경",데이터입력!$AM$2=TRUE),VLOOKUP($A190,데이터입력!$A:$L,7,FALSE),""),"")</f>
        <v/>
      </c>
      <c r="I190" s="611" t="str">
        <f>IFERROR(IF(AND(데이터입력!$AE$2="추경",데이터입력!$AM$2=TRUE),VLOOKUP($A190,데이터입력!$A:$L,8,FALSE)+VLOOKUP($A190,데이터입력!$A:$L,9,FALSE)+VLOOKUP($A190,데이터입력!$A:$L,10,FALSE),""),"")</f>
        <v/>
      </c>
      <c r="J190" s="612" t="s">
        <v>135</v>
      </c>
      <c r="K190" s="612" t="s">
        <v>135</v>
      </c>
      <c r="L190" s="612" t="s">
        <v>135</v>
      </c>
      <c r="M190" s="604"/>
      <c r="N190" s="180">
        <v>388</v>
      </c>
      <c r="O190" s="616" t="str">
        <f>IFERROR(IF(S190="06",데이터입력!$AB$8,IF(S190="07",데이터입력!$AD$8,IF(S190="05",데이터입력!$AF$8,데이터입력!$AB$8))),데이터입력!$AB$8)</f>
        <v>00</v>
      </c>
      <c r="P190" s="617" t="str">
        <f>데이터입력!$AC$9</f>
        <v>일반사업[일반]</v>
      </c>
      <c r="Q190" s="618" t="str">
        <f>IFERROR(IF(데이터입력!$AE$2="추경",VLOOKUP($N190,데이터입력!$A:$H,4,FALSE),""),"")</f>
        <v/>
      </c>
      <c r="R190" s="618" t="str">
        <f>IFERROR(IF(데이터입력!$AE$2="추경",VLOOKUP($N190,데이터입력!$A:$H,2,FALSE),""),"")</f>
        <v/>
      </c>
      <c r="S190" s="618" t="str">
        <f>IFERROR(IF(데이터입력!$AE$2="추경",VLOOKUP($N190,데이터입력!$A:$H,5,FALSE),""),"")</f>
        <v/>
      </c>
      <c r="T190" s="618" t="str">
        <f>IFERROR(IF(데이터입력!$AE$2="추경",VLOOKUP($N190,데이터입력!$A:$H,6,FALSE),""),"")</f>
        <v/>
      </c>
      <c r="U190" s="619" t="str">
        <f>IFERROR(IF(데이터입력!$AE$2="추경",VLOOKUP($N190,데이터입력!$A:$L,8,FALSE)+VLOOKUP($N190,데이터입력!$A:$L,9,FALSE)+VLOOKUP($N190,데이터입력!$A:$L,10,FALSE),""),"")</f>
        <v/>
      </c>
      <c r="V190" s="620" t="s">
        <v>135</v>
      </c>
      <c r="W190" s="620" t="s">
        <v>135</v>
      </c>
      <c r="X190" s="620" t="s">
        <v>135</v>
      </c>
      <c r="Y190" s="601"/>
      <c r="Z190" s="182" t="str">
        <f>데이터입력!$AB$8</f>
        <v>00</v>
      </c>
      <c r="AA190" s="185" t="str">
        <f>데이터입력!$AC$9</f>
        <v>일반사업[일반]</v>
      </c>
      <c r="AB190" s="183" t="str">
        <f>IFERROR(IF(데이터입력!$AE$2="추경",VLOOKUP($A190,#REF!,4,FALSE),""),"")</f>
        <v/>
      </c>
      <c r="AC190" s="183" t="str">
        <f>IFERROR(IF(데이터입력!$AE$2="추경",VLOOKUP($A190,#REF!,5,FALSE),""),"")</f>
        <v/>
      </c>
      <c r="AD190" s="183" t="str">
        <f>IFERROR(IF(데이터입력!$AE$2="추경",VLOOKUP($A190,#REF!,6,FALSE),""),"")</f>
        <v/>
      </c>
      <c r="AE190" s="183" t="str">
        <f>IFERROR(IF(데이터입력!$AE$2="추경",VLOOKUP($A190,#REF!,7,FALSE),""),"")</f>
        <v/>
      </c>
      <c r="AF190" s="183"/>
      <c r="AG190" s="184" t="str">
        <f>IFERROR(IF(데이터입력!$AE$2="추경",VLOOKUP($A190,#REF!,9,FALSE),""),"")</f>
        <v/>
      </c>
      <c r="AH190" s="184" t="str">
        <f>IFERROR(IF(데이터입력!$AE$2="추경",VLOOKUP($A190,#REF!,10,FALSE),""),"")</f>
        <v/>
      </c>
      <c r="AI190" s="184" t="str">
        <f>IFERROR(IF(데이터입력!$AE$2="추경",VLOOKUP($A190,#REF!,11,FALSE),""),"")</f>
        <v/>
      </c>
      <c r="AJ190" s="184" t="str">
        <f>IFERROR(IF(데이터입력!$AE$2="추경",VLOOKUP($A190,#REF!,12,FALSE),""),"")</f>
        <v/>
      </c>
      <c r="AK190" s="184" t="str">
        <f>IFERROR(IF(데이터입력!$AE$2="추경",VLOOKUP($A190,#REF!,13,FALSE),""),"")</f>
        <v/>
      </c>
    </row>
    <row r="191" spans="1:37">
      <c r="A191" s="180">
        <v>189</v>
      </c>
      <c r="B191" s="608" t="str">
        <f>IFERROR(IF(F191="06",데이터입력!$AB$8,IF(F191="07",데이터입력!$AD$8,IF(F191="05",데이터입력!$AF$8,데이터입력!$AB$8))),데이터입력!$AB$8)</f>
        <v>00</v>
      </c>
      <c r="C191" s="609" t="str">
        <f>데이터입력!$AC$9</f>
        <v>일반사업[일반]</v>
      </c>
      <c r="D191" s="610" t="str">
        <f>IFERROR(IF(AND(데이터입력!$AE$2="추경",데이터입력!$AM$2=TRUE),VLOOKUP($A191,데이터입력!$A:$H,4,FALSE),""),"")</f>
        <v/>
      </c>
      <c r="E191" s="610" t="str">
        <f>IFERROR(IF(AND(데이터입력!$AE$2="추경",데이터입력!$AM$2=TRUE),VLOOKUP($A191,데이터입력!$A:$H,2,FALSE),""),"")</f>
        <v/>
      </c>
      <c r="F191" s="610" t="str">
        <f>IFERROR(IF(AND(데이터입력!$AE$2="추경",데이터입력!$AM$2=TRUE),VLOOKUP($A191,데이터입력!$A:$H,5,FALSE),""),"")</f>
        <v/>
      </c>
      <c r="G191" s="610" t="str">
        <f>IFERROR(IF(AND(데이터입력!$AE$2="추경",데이터입력!$AM$2=TRUE),VLOOKUP($A191,데이터입력!$A:$H,6,FALSE),""),"")</f>
        <v/>
      </c>
      <c r="H191" s="611" t="str">
        <f>IFERROR(IF(AND(데이터입력!$AE$2="추경",데이터입력!$AM$2=TRUE),VLOOKUP($A191,데이터입력!$A:$L,7,FALSE),""),"")</f>
        <v/>
      </c>
      <c r="I191" s="611" t="str">
        <f>IFERROR(IF(AND(데이터입력!$AE$2="추경",데이터입력!$AM$2=TRUE),VLOOKUP($A191,데이터입력!$A:$L,8,FALSE)+VLOOKUP($A191,데이터입력!$A:$L,9,FALSE)+VLOOKUP($A191,데이터입력!$A:$L,10,FALSE),""),"")</f>
        <v/>
      </c>
      <c r="J191" s="612" t="s">
        <v>135</v>
      </c>
      <c r="K191" s="612" t="s">
        <v>135</v>
      </c>
      <c r="L191" s="612" t="s">
        <v>135</v>
      </c>
      <c r="M191" s="604"/>
      <c r="N191" s="180">
        <v>389</v>
      </c>
      <c r="O191" s="616" t="str">
        <f>IFERROR(IF(S191="06",데이터입력!$AB$8,IF(S191="07",데이터입력!$AD$8,IF(S191="05",데이터입력!$AF$8,데이터입력!$AB$8))),데이터입력!$AB$8)</f>
        <v>00</v>
      </c>
      <c r="P191" s="617" t="str">
        <f>데이터입력!$AC$9</f>
        <v>일반사업[일반]</v>
      </c>
      <c r="Q191" s="618" t="str">
        <f>IFERROR(IF(데이터입력!$AE$2="추경",VLOOKUP($N191,데이터입력!$A:$H,4,FALSE),""),"")</f>
        <v/>
      </c>
      <c r="R191" s="618" t="str">
        <f>IFERROR(IF(데이터입력!$AE$2="추경",VLOOKUP($N191,데이터입력!$A:$H,2,FALSE),""),"")</f>
        <v/>
      </c>
      <c r="S191" s="618" t="str">
        <f>IFERROR(IF(데이터입력!$AE$2="추경",VLOOKUP($N191,데이터입력!$A:$H,5,FALSE),""),"")</f>
        <v/>
      </c>
      <c r="T191" s="618" t="str">
        <f>IFERROR(IF(데이터입력!$AE$2="추경",VLOOKUP($N191,데이터입력!$A:$H,6,FALSE),""),"")</f>
        <v/>
      </c>
      <c r="U191" s="619" t="str">
        <f>IFERROR(IF(데이터입력!$AE$2="추경",VLOOKUP($N191,데이터입력!$A:$L,8,FALSE)+VLOOKUP($N191,데이터입력!$A:$L,9,FALSE)+VLOOKUP($N191,데이터입력!$A:$L,10,FALSE),""),"")</f>
        <v/>
      </c>
      <c r="V191" s="620" t="s">
        <v>135</v>
      </c>
      <c r="W191" s="620" t="s">
        <v>135</v>
      </c>
      <c r="X191" s="620" t="s">
        <v>135</v>
      </c>
      <c r="Y191" s="601"/>
      <c r="Z191" s="182" t="str">
        <f>데이터입력!$AB$8</f>
        <v>00</v>
      </c>
      <c r="AA191" s="185" t="str">
        <f>데이터입력!$AC$9</f>
        <v>일반사업[일반]</v>
      </c>
      <c r="AB191" s="183" t="str">
        <f>IFERROR(IF(데이터입력!$AE$2="추경",VLOOKUP($A191,#REF!,4,FALSE),""),"")</f>
        <v/>
      </c>
      <c r="AC191" s="183" t="str">
        <f>IFERROR(IF(데이터입력!$AE$2="추경",VLOOKUP($A191,#REF!,5,FALSE),""),"")</f>
        <v/>
      </c>
      <c r="AD191" s="183" t="str">
        <f>IFERROR(IF(데이터입력!$AE$2="추경",VLOOKUP($A191,#REF!,6,FALSE),""),"")</f>
        <v/>
      </c>
      <c r="AE191" s="183" t="str">
        <f>IFERROR(IF(데이터입력!$AE$2="추경",VLOOKUP($A191,#REF!,7,FALSE),""),"")</f>
        <v/>
      </c>
      <c r="AF191" s="183"/>
      <c r="AG191" s="184" t="str">
        <f>IFERROR(IF(데이터입력!$AE$2="추경",VLOOKUP($A191,#REF!,9,FALSE),""),"")</f>
        <v/>
      </c>
      <c r="AH191" s="184" t="str">
        <f>IFERROR(IF(데이터입력!$AE$2="추경",VLOOKUP($A191,#REF!,10,FALSE),""),"")</f>
        <v/>
      </c>
      <c r="AI191" s="184" t="str">
        <f>IFERROR(IF(데이터입력!$AE$2="추경",VLOOKUP($A191,#REF!,11,FALSE),""),"")</f>
        <v/>
      </c>
      <c r="AJ191" s="184" t="str">
        <f>IFERROR(IF(데이터입력!$AE$2="추경",VLOOKUP($A191,#REF!,12,FALSE),""),"")</f>
        <v/>
      </c>
      <c r="AK191" s="184" t="str">
        <f>IFERROR(IF(데이터입력!$AE$2="추경",VLOOKUP($A191,#REF!,13,FALSE),""),"")</f>
        <v/>
      </c>
    </row>
    <row r="192" spans="1:37">
      <c r="A192" s="180">
        <v>190</v>
      </c>
      <c r="B192" s="608" t="str">
        <f>IFERROR(IF(F192="06",데이터입력!$AB$8,IF(F192="07",데이터입력!$AD$8,IF(F192="05",데이터입력!$AF$8,데이터입력!$AB$8))),데이터입력!$AB$8)</f>
        <v>00</v>
      </c>
      <c r="C192" s="609" t="str">
        <f>데이터입력!$AC$9</f>
        <v>일반사업[일반]</v>
      </c>
      <c r="D192" s="610" t="str">
        <f>IFERROR(IF(AND(데이터입력!$AE$2="추경",데이터입력!$AM$2=TRUE),VLOOKUP($A192,데이터입력!$A:$H,4,FALSE),""),"")</f>
        <v/>
      </c>
      <c r="E192" s="610" t="str">
        <f>IFERROR(IF(AND(데이터입력!$AE$2="추경",데이터입력!$AM$2=TRUE),VLOOKUP($A192,데이터입력!$A:$H,2,FALSE),""),"")</f>
        <v/>
      </c>
      <c r="F192" s="610" t="str">
        <f>IFERROR(IF(AND(데이터입력!$AE$2="추경",데이터입력!$AM$2=TRUE),VLOOKUP($A192,데이터입력!$A:$H,5,FALSE),""),"")</f>
        <v/>
      </c>
      <c r="G192" s="610" t="str">
        <f>IFERROR(IF(AND(데이터입력!$AE$2="추경",데이터입력!$AM$2=TRUE),VLOOKUP($A192,데이터입력!$A:$H,6,FALSE),""),"")</f>
        <v/>
      </c>
      <c r="H192" s="611" t="str">
        <f>IFERROR(IF(AND(데이터입력!$AE$2="추경",데이터입력!$AM$2=TRUE),VLOOKUP($A192,데이터입력!$A:$L,7,FALSE),""),"")</f>
        <v/>
      </c>
      <c r="I192" s="611" t="str">
        <f>IFERROR(IF(AND(데이터입력!$AE$2="추경",데이터입력!$AM$2=TRUE),VLOOKUP($A192,데이터입력!$A:$L,8,FALSE)+VLOOKUP($A192,데이터입력!$A:$L,9,FALSE)+VLOOKUP($A192,데이터입력!$A:$L,10,FALSE),""),"")</f>
        <v/>
      </c>
      <c r="J192" s="612" t="s">
        <v>135</v>
      </c>
      <c r="K192" s="612" t="s">
        <v>135</v>
      </c>
      <c r="L192" s="612" t="s">
        <v>135</v>
      </c>
      <c r="M192" s="604"/>
      <c r="N192" s="180">
        <v>390</v>
      </c>
      <c r="O192" s="616" t="str">
        <f>IFERROR(IF(S192="06",데이터입력!$AB$8,IF(S192="07",데이터입력!$AD$8,IF(S192="05",데이터입력!$AF$8,데이터입력!$AB$8))),데이터입력!$AB$8)</f>
        <v>00</v>
      </c>
      <c r="P192" s="617" t="str">
        <f>데이터입력!$AC$9</f>
        <v>일반사업[일반]</v>
      </c>
      <c r="Q192" s="618" t="str">
        <f>IFERROR(IF(데이터입력!$AE$2="추경",VLOOKUP($N192,데이터입력!$A:$H,4,FALSE),""),"")</f>
        <v/>
      </c>
      <c r="R192" s="618" t="str">
        <f>IFERROR(IF(데이터입력!$AE$2="추경",VLOOKUP($N192,데이터입력!$A:$H,2,FALSE),""),"")</f>
        <v/>
      </c>
      <c r="S192" s="618" t="str">
        <f>IFERROR(IF(데이터입력!$AE$2="추경",VLOOKUP($N192,데이터입력!$A:$H,5,FALSE),""),"")</f>
        <v/>
      </c>
      <c r="T192" s="618" t="str">
        <f>IFERROR(IF(데이터입력!$AE$2="추경",VLOOKUP($N192,데이터입력!$A:$H,6,FALSE),""),"")</f>
        <v/>
      </c>
      <c r="U192" s="619" t="str">
        <f>IFERROR(IF(데이터입력!$AE$2="추경",VLOOKUP($N192,데이터입력!$A:$L,8,FALSE)+VLOOKUP($N192,데이터입력!$A:$L,9,FALSE)+VLOOKUP($N192,데이터입력!$A:$L,10,FALSE),""),"")</f>
        <v/>
      </c>
      <c r="V192" s="620" t="s">
        <v>135</v>
      </c>
      <c r="W192" s="620" t="s">
        <v>135</v>
      </c>
      <c r="X192" s="620" t="s">
        <v>135</v>
      </c>
      <c r="Y192" s="601"/>
      <c r="Z192" s="182" t="str">
        <f>데이터입력!$AB$8</f>
        <v>00</v>
      </c>
      <c r="AA192" s="185" t="str">
        <f>데이터입력!$AC$9</f>
        <v>일반사업[일반]</v>
      </c>
      <c r="AB192" s="183" t="str">
        <f>IFERROR(IF(데이터입력!$AE$2="추경",VLOOKUP($A192,#REF!,4,FALSE),""),"")</f>
        <v/>
      </c>
      <c r="AC192" s="183" t="str">
        <f>IFERROR(IF(데이터입력!$AE$2="추경",VLOOKUP($A192,#REF!,5,FALSE),""),"")</f>
        <v/>
      </c>
      <c r="AD192" s="183" t="str">
        <f>IFERROR(IF(데이터입력!$AE$2="추경",VLOOKUP($A192,#REF!,6,FALSE),""),"")</f>
        <v/>
      </c>
      <c r="AE192" s="183" t="str">
        <f>IFERROR(IF(데이터입력!$AE$2="추경",VLOOKUP($A192,#REF!,7,FALSE),""),"")</f>
        <v/>
      </c>
      <c r="AF192" s="183"/>
      <c r="AG192" s="184" t="str">
        <f>IFERROR(IF(데이터입력!$AE$2="추경",VLOOKUP($A192,#REF!,9,FALSE),""),"")</f>
        <v/>
      </c>
      <c r="AH192" s="184" t="str">
        <f>IFERROR(IF(데이터입력!$AE$2="추경",VLOOKUP($A192,#REF!,10,FALSE),""),"")</f>
        <v/>
      </c>
      <c r="AI192" s="184" t="str">
        <f>IFERROR(IF(데이터입력!$AE$2="추경",VLOOKUP($A192,#REF!,11,FALSE),""),"")</f>
        <v/>
      </c>
      <c r="AJ192" s="184" t="str">
        <f>IFERROR(IF(데이터입력!$AE$2="추경",VLOOKUP($A192,#REF!,12,FALSE),""),"")</f>
        <v/>
      </c>
      <c r="AK192" s="184" t="str">
        <f>IFERROR(IF(데이터입력!$AE$2="추경",VLOOKUP($A192,#REF!,13,FALSE),""),"")</f>
        <v/>
      </c>
    </row>
    <row r="193" spans="1:37">
      <c r="A193" s="180">
        <v>191</v>
      </c>
      <c r="B193" s="608" t="str">
        <f>IFERROR(IF(F193="06",데이터입력!$AB$8,IF(F193="07",데이터입력!$AD$8,IF(F193="05",데이터입력!$AF$8,데이터입력!$AB$8))),데이터입력!$AB$8)</f>
        <v>00</v>
      </c>
      <c r="C193" s="609" t="str">
        <f>데이터입력!$AC$9</f>
        <v>일반사업[일반]</v>
      </c>
      <c r="D193" s="610" t="str">
        <f>IFERROR(IF(AND(데이터입력!$AE$2="추경",데이터입력!$AM$2=TRUE),VLOOKUP($A193,데이터입력!$A:$H,4,FALSE),""),"")</f>
        <v/>
      </c>
      <c r="E193" s="610" t="str">
        <f>IFERROR(IF(AND(데이터입력!$AE$2="추경",데이터입력!$AM$2=TRUE),VLOOKUP($A193,데이터입력!$A:$H,2,FALSE),""),"")</f>
        <v/>
      </c>
      <c r="F193" s="610" t="str">
        <f>IFERROR(IF(AND(데이터입력!$AE$2="추경",데이터입력!$AM$2=TRUE),VLOOKUP($A193,데이터입력!$A:$H,5,FALSE),""),"")</f>
        <v/>
      </c>
      <c r="G193" s="610" t="str">
        <f>IFERROR(IF(AND(데이터입력!$AE$2="추경",데이터입력!$AM$2=TRUE),VLOOKUP($A193,데이터입력!$A:$H,6,FALSE),""),"")</f>
        <v/>
      </c>
      <c r="H193" s="611" t="str">
        <f>IFERROR(IF(AND(데이터입력!$AE$2="추경",데이터입력!$AM$2=TRUE),VLOOKUP($A193,데이터입력!$A:$L,7,FALSE),""),"")</f>
        <v/>
      </c>
      <c r="I193" s="611" t="str">
        <f>IFERROR(IF(AND(데이터입력!$AE$2="추경",데이터입력!$AM$2=TRUE),VLOOKUP($A193,데이터입력!$A:$L,8,FALSE)+VLOOKUP($A193,데이터입력!$A:$L,9,FALSE)+VLOOKUP($A193,데이터입력!$A:$L,10,FALSE),""),"")</f>
        <v/>
      </c>
      <c r="J193" s="612" t="s">
        <v>135</v>
      </c>
      <c r="K193" s="612" t="s">
        <v>135</v>
      </c>
      <c r="L193" s="612" t="s">
        <v>135</v>
      </c>
      <c r="M193" s="604"/>
      <c r="N193" s="180">
        <v>391</v>
      </c>
      <c r="O193" s="616" t="str">
        <f>IFERROR(IF(S193="06",데이터입력!$AB$8,IF(S193="07",데이터입력!$AD$8,IF(S193="05",데이터입력!$AF$8,데이터입력!$AB$8))),데이터입력!$AB$8)</f>
        <v>00</v>
      </c>
      <c r="P193" s="617" t="str">
        <f>데이터입력!$AC$9</f>
        <v>일반사업[일반]</v>
      </c>
      <c r="Q193" s="618" t="str">
        <f>IFERROR(IF(데이터입력!$AE$2="추경",VLOOKUP($N193,데이터입력!$A:$H,4,FALSE),""),"")</f>
        <v/>
      </c>
      <c r="R193" s="618" t="str">
        <f>IFERROR(IF(데이터입력!$AE$2="추경",VLOOKUP($N193,데이터입력!$A:$H,2,FALSE),""),"")</f>
        <v/>
      </c>
      <c r="S193" s="618" t="str">
        <f>IFERROR(IF(데이터입력!$AE$2="추경",VLOOKUP($N193,데이터입력!$A:$H,5,FALSE),""),"")</f>
        <v/>
      </c>
      <c r="T193" s="618" t="str">
        <f>IFERROR(IF(데이터입력!$AE$2="추경",VLOOKUP($N193,데이터입력!$A:$H,6,FALSE),""),"")</f>
        <v/>
      </c>
      <c r="U193" s="619" t="str">
        <f>IFERROR(IF(데이터입력!$AE$2="추경",VLOOKUP($N193,데이터입력!$A:$L,8,FALSE)+VLOOKUP($N193,데이터입력!$A:$L,9,FALSE)+VLOOKUP($N193,데이터입력!$A:$L,10,FALSE),""),"")</f>
        <v/>
      </c>
      <c r="V193" s="620" t="s">
        <v>135</v>
      </c>
      <c r="W193" s="620" t="s">
        <v>135</v>
      </c>
      <c r="X193" s="620" t="s">
        <v>135</v>
      </c>
      <c r="Y193" s="601"/>
      <c r="Z193" s="182" t="str">
        <f>데이터입력!$AB$8</f>
        <v>00</v>
      </c>
      <c r="AA193" s="185" t="str">
        <f>데이터입력!$AC$9</f>
        <v>일반사업[일반]</v>
      </c>
      <c r="AB193" s="183" t="str">
        <f>IFERROR(IF(데이터입력!$AE$2="추경",VLOOKUP($A193,#REF!,4,FALSE),""),"")</f>
        <v/>
      </c>
      <c r="AC193" s="183" t="str">
        <f>IFERROR(IF(데이터입력!$AE$2="추경",VLOOKUP($A193,#REF!,5,FALSE),""),"")</f>
        <v/>
      </c>
      <c r="AD193" s="183" t="str">
        <f>IFERROR(IF(데이터입력!$AE$2="추경",VLOOKUP($A193,#REF!,6,FALSE),""),"")</f>
        <v/>
      </c>
      <c r="AE193" s="183" t="str">
        <f>IFERROR(IF(데이터입력!$AE$2="추경",VLOOKUP($A193,#REF!,7,FALSE),""),"")</f>
        <v/>
      </c>
      <c r="AF193" s="183"/>
      <c r="AG193" s="184" t="str">
        <f>IFERROR(IF(데이터입력!$AE$2="추경",VLOOKUP($A193,#REF!,9,FALSE),""),"")</f>
        <v/>
      </c>
      <c r="AH193" s="184" t="str">
        <f>IFERROR(IF(데이터입력!$AE$2="추경",VLOOKUP($A193,#REF!,10,FALSE),""),"")</f>
        <v/>
      </c>
      <c r="AI193" s="184" t="str">
        <f>IFERROR(IF(데이터입력!$AE$2="추경",VLOOKUP($A193,#REF!,11,FALSE),""),"")</f>
        <v/>
      </c>
      <c r="AJ193" s="184" t="str">
        <f>IFERROR(IF(데이터입력!$AE$2="추경",VLOOKUP($A193,#REF!,12,FALSE),""),"")</f>
        <v/>
      </c>
      <c r="AK193" s="184" t="str">
        <f>IFERROR(IF(데이터입력!$AE$2="추경",VLOOKUP($A193,#REF!,13,FALSE),""),"")</f>
        <v/>
      </c>
    </row>
    <row r="194" spans="1:37">
      <c r="A194" s="180">
        <v>192</v>
      </c>
      <c r="B194" s="608" t="str">
        <f>IFERROR(IF(F194="06",데이터입력!$AB$8,IF(F194="07",데이터입력!$AD$8,IF(F194="05",데이터입력!$AF$8,데이터입력!$AB$8))),데이터입력!$AB$8)</f>
        <v>00</v>
      </c>
      <c r="C194" s="609" t="str">
        <f>데이터입력!$AC$9</f>
        <v>일반사업[일반]</v>
      </c>
      <c r="D194" s="610" t="str">
        <f>IFERROR(IF(AND(데이터입력!$AE$2="추경",데이터입력!$AM$2=TRUE),VLOOKUP($A194,데이터입력!$A:$H,4,FALSE),""),"")</f>
        <v/>
      </c>
      <c r="E194" s="610" t="str">
        <f>IFERROR(IF(AND(데이터입력!$AE$2="추경",데이터입력!$AM$2=TRUE),VLOOKUP($A194,데이터입력!$A:$H,2,FALSE),""),"")</f>
        <v/>
      </c>
      <c r="F194" s="610" t="str">
        <f>IFERROR(IF(AND(데이터입력!$AE$2="추경",데이터입력!$AM$2=TRUE),VLOOKUP($A194,데이터입력!$A:$H,5,FALSE),""),"")</f>
        <v/>
      </c>
      <c r="G194" s="610" t="str">
        <f>IFERROR(IF(AND(데이터입력!$AE$2="추경",데이터입력!$AM$2=TRUE),VLOOKUP($A194,데이터입력!$A:$H,6,FALSE),""),"")</f>
        <v/>
      </c>
      <c r="H194" s="611" t="str">
        <f>IFERROR(IF(AND(데이터입력!$AE$2="추경",데이터입력!$AM$2=TRUE),VLOOKUP($A194,데이터입력!$A:$L,7,FALSE),""),"")</f>
        <v/>
      </c>
      <c r="I194" s="611" t="str">
        <f>IFERROR(IF(AND(데이터입력!$AE$2="추경",데이터입력!$AM$2=TRUE),VLOOKUP($A194,데이터입력!$A:$L,8,FALSE)+VLOOKUP($A194,데이터입력!$A:$L,9,FALSE)+VLOOKUP($A194,데이터입력!$A:$L,10,FALSE),""),"")</f>
        <v/>
      </c>
      <c r="J194" s="612" t="s">
        <v>135</v>
      </c>
      <c r="K194" s="612" t="s">
        <v>135</v>
      </c>
      <c r="L194" s="612" t="s">
        <v>135</v>
      </c>
      <c r="M194" s="604"/>
      <c r="N194" s="180">
        <v>392</v>
      </c>
      <c r="O194" s="616" t="str">
        <f>IFERROR(IF(S194="06",데이터입력!$AB$8,IF(S194="07",데이터입력!$AD$8,IF(S194="05",데이터입력!$AF$8,데이터입력!$AB$8))),데이터입력!$AB$8)</f>
        <v>00</v>
      </c>
      <c r="P194" s="617" t="str">
        <f>데이터입력!$AC$9</f>
        <v>일반사업[일반]</v>
      </c>
      <c r="Q194" s="618" t="str">
        <f>IFERROR(IF(데이터입력!$AE$2="추경",VLOOKUP($N194,데이터입력!$A:$H,4,FALSE),""),"")</f>
        <v/>
      </c>
      <c r="R194" s="618" t="str">
        <f>IFERROR(IF(데이터입력!$AE$2="추경",VLOOKUP($N194,데이터입력!$A:$H,2,FALSE),""),"")</f>
        <v/>
      </c>
      <c r="S194" s="618" t="str">
        <f>IFERROR(IF(데이터입력!$AE$2="추경",VLOOKUP($N194,데이터입력!$A:$H,5,FALSE),""),"")</f>
        <v/>
      </c>
      <c r="T194" s="618" t="str">
        <f>IFERROR(IF(데이터입력!$AE$2="추경",VLOOKUP($N194,데이터입력!$A:$H,6,FALSE),""),"")</f>
        <v/>
      </c>
      <c r="U194" s="619" t="str">
        <f>IFERROR(IF(데이터입력!$AE$2="추경",VLOOKUP($N194,데이터입력!$A:$L,8,FALSE)+VLOOKUP($N194,데이터입력!$A:$L,9,FALSE)+VLOOKUP($N194,데이터입력!$A:$L,10,FALSE),""),"")</f>
        <v/>
      </c>
      <c r="V194" s="620" t="s">
        <v>135</v>
      </c>
      <c r="W194" s="620" t="s">
        <v>135</v>
      </c>
      <c r="X194" s="620" t="s">
        <v>135</v>
      </c>
      <c r="Y194" s="601"/>
      <c r="Z194" s="182" t="str">
        <f>데이터입력!$AB$8</f>
        <v>00</v>
      </c>
      <c r="AA194" s="185" t="str">
        <f>데이터입력!$AC$9</f>
        <v>일반사업[일반]</v>
      </c>
      <c r="AB194" s="183" t="str">
        <f>IFERROR(IF(데이터입력!$AE$2="추경",VLOOKUP($A194,#REF!,4,FALSE),""),"")</f>
        <v/>
      </c>
      <c r="AC194" s="183" t="str">
        <f>IFERROR(IF(데이터입력!$AE$2="추경",VLOOKUP($A194,#REF!,5,FALSE),""),"")</f>
        <v/>
      </c>
      <c r="AD194" s="183" t="str">
        <f>IFERROR(IF(데이터입력!$AE$2="추경",VLOOKUP($A194,#REF!,6,FALSE),""),"")</f>
        <v/>
      </c>
      <c r="AE194" s="183" t="str">
        <f>IFERROR(IF(데이터입력!$AE$2="추경",VLOOKUP($A194,#REF!,7,FALSE),""),"")</f>
        <v/>
      </c>
      <c r="AF194" s="183"/>
      <c r="AG194" s="184" t="str">
        <f>IFERROR(IF(데이터입력!$AE$2="추경",VLOOKUP($A194,#REF!,9,FALSE),""),"")</f>
        <v/>
      </c>
      <c r="AH194" s="184" t="str">
        <f>IFERROR(IF(데이터입력!$AE$2="추경",VLOOKUP($A194,#REF!,10,FALSE),""),"")</f>
        <v/>
      </c>
      <c r="AI194" s="184" t="str">
        <f>IFERROR(IF(데이터입력!$AE$2="추경",VLOOKUP($A194,#REF!,11,FALSE),""),"")</f>
        <v/>
      </c>
      <c r="AJ194" s="184" t="str">
        <f>IFERROR(IF(데이터입력!$AE$2="추경",VLOOKUP($A194,#REF!,12,FALSE),""),"")</f>
        <v/>
      </c>
      <c r="AK194" s="184" t="str">
        <f>IFERROR(IF(데이터입력!$AE$2="추경",VLOOKUP($A194,#REF!,13,FALSE),""),"")</f>
        <v/>
      </c>
    </row>
    <row r="195" spans="1:37">
      <c r="A195" s="180">
        <v>193</v>
      </c>
      <c r="B195" s="608" t="str">
        <f>IFERROR(IF(F195="06",데이터입력!$AB$8,IF(F195="07",데이터입력!$AD$8,IF(F195="05",데이터입력!$AF$8,데이터입력!$AB$8))),데이터입력!$AB$8)</f>
        <v>00</v>
      </c>
      <c r="C195" s="609" t="str">
        <f>데이터입력!$AC$9</f>
        <v>일반사업[일반]</v>
      </c>
      <c r="D195" s="610" t="str">
        <f>IFERROR(IF(AND(데이터입력!$AE$2="추경",데이터입력!$AM$2=TRUE),VLOOKUP($A195,데이터입력!$A:$H,4,FALSE),""),"")</f>
        <v/>
      </c>
      <c r="E195" s="610" t="str">
        <f>IFERROR(IF(AND(데이터입력!$AE$2="추경",데이터입력!$AM$2=TRUE),VLOOKUP($A195,데이터입력!$A:$H,2,FALSE),""),"")</f>
        <v/>
      </c>
      <c r="F195" s="610" t="str">
        <f>IFERROR(IF(AND(데이터입력!$AE$2="추경",데이터입력!$AM$2=TRUE),VLOOKUP($A195,데이터입력!$A:$H,5,FALSE),""),"")</f>
        <v/>
      </c>
      <c r="G195" s="610" t="str">
        <f>IFERROR(IF(AND(데이터입력!$AE$2="추경",데이터입력!$AM$2=TRUE),VLOOKUP($A195,데이터입력!$A:$H,6,FALSE),""),"")</f>
        <v/>
      </c>
      <c r="H195" s="611" t="str">
        <f>IFERROR(IF(AND(데이터입력!$AE$2="추경",데이터입력!$AM$2=TRUE),VLOOKUP($A195,데이터입력!$A:$L,7,FALSE),""),"")</f>
        <v/>
      </c>
      <c r="I195" s="611" t="str">
        <f>IFERROR(IF(AND(데이터입력!$AE$2="추경",데이터입력!$AM$2=TRUE),VLOOKUP($A195,데이터입력!$A:$L,8,FALSE)+VLOOKUP($A195,데이터입력!$A:$L,9,FALSE)+VLOOKUP($A195,데이터입력!$A:$L,10,FALSE),""),"")</f>
        <v/>
      </c>
      <c r="J195" s="612" t="s">
        <v>135</v>
      </c>
      <c r="K195" s="612" t="s">
        <v>135</v>
      </c>
      <c r="L195" s="612" t="s">
        <v>135</v>
      </c>
      <c r="M195" s="604"/>
      <c r="N195" s="180">
        <v>393</v>
      </c>
      <c r="O195" s="616" t="str">
        <f>IFERROR(IF(S195="06",데이터입력!$AB$8,IF(S195="07",데이터입력!$AD$8,IF(S195="05",데이터입력!$AF$8,데이터입력!$AB$8))),데이터입력!$AB$8)</f>
        <v>00</v>
      </c>
      <c r="P195" s="617" t="str">
        <f>데이터입력!$AC$9</f>
        <v>일반사업[일반]</v>
      </c>
      <c r="Q195" s="618" t="str">
        <f>IFERROR(IF(데이터입력!$AE$2="추경",VLOOKUP($N195,데이터입력!$A:$H,4,FALSE),""),"")</f>
        <v/>
      </c>
      <c r="R195" s="618" t="str">
        <f>IFERROR(IF(데이터입력!$AE$2="추경",VLOOKUP($N195,데이터입력!$A:$H,2,FALSE),""),"")</f>
        <v/>
      </c>
      <c r="S195" s="618" t="str">
        <f>IFERROR(IF(데이터입력!$AE$2="추경",VLOOKUP($N195,데이터입력!$A:$H,5,FALSE),""),"")</f>
        <v/>
      </c>
      <c r="T195" s="618" t="str">
        <f>IFERROR(IF(데이터입력!$AE$2="추경",VLOOKUP($N195,데이터입력!$A:$H,6,FALSE),""),"")</f>
        <v/>
      </c>
      <c r="U195" s="619" t="str">
        <f>IFERROR(IF(데이터입력!$AE$2="추경",VLOOKUP($N195,데이터입력!$A:$L,8,FALSE)+VLOOKUP($N195,데이터입력!$A:$L,9,FALSE)+VLOOKUP($N195,데이터입력!$A:$L,10,FALSE),""),"")</f>
        <v/>
      </c>
      <c r="V195" s="620" t="s">
        <v>135</v>
      </c>
      <c r="W195" s="620" t="s">
        <v>135</v>
      </c>
      <c r="X195" s="620" t="s">
        <v>135</v>
      </c>
      <c r="Y195" s="601"/>
      <c r="Z195" s="182" t="str">
        <f>데이터입력!$AB$8</f>
        <v>00</v>
      </c>
      <c r="AA195" s="185" t="str">
        <f>데이터입력!$AC$9</f>
        <v>일반사업[일반]</v>
      </c>
      <c r="AB195" s="183" t="str">
        <f>IFERROR(IF(데이터입력!$AE$2="추경",VLOOKUP($A195,#REF!,4,FALSE),""),"")</f>
        <v/>
      </c>
      <c r="AC195" s="183" t="str">
        <f>IFERROR(IF(데이터입력!$AE$2="추경",VLOOKUP($A195,#REF!,5,FALSE),""),"")</f>
        <v/>
      </c>
      <c r="AD195" s="183" t="str">
        <f>IFERROR(IF(데이터입력!$AE$2="추경",VLOOKUP($A195,#REF!,6,FALSE),""),"")</f>
        <v/>
      </c>
      <c r="AE195" s="183" t="str">
        <f>IFERROR(IF(데이터입력!$AE$2="추경",VLOOKUP($A195,#REF!,7,FALSE),""),"")</f>
        <v/>
      </c>
      <c r="AF195" s="183"/>
      <c r="AG195" s="184" t="str">
        <f>IFERROR(IF(데이터입력!$AE$2="추경",VLOOKUP($A195,#REF!,9,FALSE),""),"")</f>
        <v/>
      </c>
      <c r="AH195" s="184" t="str">
        <f>IFERROR(IF(데이터입력!$AE$2="추경",VLOOKUP($A195,#REF!,10,FALSE),""),"")</f>
        <v/>
      </c>
      <c r="AI195" s="184" t="str">
        <f>IFERROR(IF(데이터입력!$AE$2="추경",VLOOKUP($A195,#REF!,11,FALSE),""),"")</f>
        <v/>
      </c>
      <c r="AJ195" s="184" t="str">
        <f>IFERROR(IF(데이터입력!$AE$2="추경",VLOOKUP($A195,#REF!,12,FALSE),""),"")</f>
        <v/>
      </c>
      <c r="AK195" s="184" t="str">
        <f>IFERROR(IF(데이터입력!$AE$2="추경",VLOOKUP($A195,#REF!,13,FALSE),""),"")</f>
        <v/>
      </c>
    </row>
    <row r="196" spans="1:37">
      <c r="A196" s="180">
        <v>194</v>
      </c>
      <c r="B196" s="608" t="str">
        <f>IFERROR(IF(F196="06",데이터입력!$AB$8,IF(F196="07",데이터입력!$AD$8,IF(F196="05",데이터입력!$AF$8,데이터입력!$AB$8))),데이터입력!$AB$8)</f>
        <v>00</v>
      </c>
      <c r="C196" s="609" t="str">
        <f>데이터입력!$AC$9</f>
        <v>일반사업[일반]</v>
      </c>
      <c r="D196" s="610" t="str">
        <f>IFERROR(IF(AND(데이터입력!$AE$2="추경",데이터입력!$AM$2=TRUE),VLOOKUP($A196,데이터입력!$A:$H,4,FALSE),""),"")</f>
        <v/>
      </c>
      <c r="E196" s="610" t="str">
        <f>IFERROR(IF(AND(데이터입력!$AE$2="추경",데이터입력!$AM$2=TRUE),VLOOKUP($A196,데이터입력!$A:$H,2,FALSE),""),"")</f>
        <v/>
      </c>
      <c r="F196" s="610" t="str">
        <f>IFERROR(IF(AND(데이터입력!$AE$2="추경",데이터입력!$AM$2=TRUE),VLOOKUP($A196,데이터입력!$A:$H,5,FALSE),""),"")</f>
        <v/>
      </c>
      <c r="G196" s="610" t="str">
        <f>IFERROR(IF(AND(데이터입력!$AE$2="추경",데이터입력!$AM$2=TRUE),VLOOKUP($A196,데이터입력!$A:$H,6,FALSE),""),"")</f>
        <v/>
      </c>
      <c r="H196" s="611" t="str">
        <f>IFERROR(IF(AND(데이터입력!$AE$2="추경",데이터입력!$AM$2=TRUE),VLOOKUP($A196,데이터입력!$A:$L,7,FALSE),""),"")</f>
        <v/>
      </c>
      <c r="I196" s="611" t="str">
        <f>IFERROR(IF(AND(데이터입력!$AE$2="추경",데이터입력!$AM$2=TRUE),VLOOKUP($A196,데이터입력!$A:$L,8,FALSE)+VLOOKUP($A196,데이터입력!$A:$L,9,FALSE)+VLOOKUP($A196,데이터입력!$A:$L,10,FALSE),""),"")</f>
        <v/>
      </c>
      <c r="J196" s="612" t="s">
        <v>135</v>
      </c>
      <c r="K196" s="612" t="s">
        <v>135</v>
      </c>
      <c r="L196" s="612" t="s">
        <v>135</v>
      </c>
      <c r="M196" s="604"/>
      <c r="N196" s="180">
        <v>394</v>
      </c>
      <c r="O196" s="616" t="str">
        <f>IFERROR(IF(S196="06",데이터입력!$AB$8,IF(S196="07",데이터입력!$AD$8,IF(S196="05",데이터입력!$AF$8,데이터입력!$AB$8))),데이터입력!$AB$8)</f>
        <v>00</v>
      </c>
      <c r="P196" s="617" t="str">
        <f>데이터입력!$AC$9</f>
        <v>일반사업[일반]</v>
      </c>
      <c r="Q196" s="618" t="str">
        <f>IFERROR(IF(데이터입력!$AE$2="추경",VLOOKUP($N196,데이터입력!$A:$H,4,FALSE),""),"")</f>
        <v/>
      </c>
      <c r="R196" s="618" t="str">
        <f>IFERROR(IF(데이터입력!$AE$2="추경",VLOOKUP($N196,데이터입력!$A:$H,2,FALSE),""),"")</f>
        <v/>
      </c>
      <c r="S196" s="618" t="str">
        <f>IFERROR(IF(데이터입력!$AE$2="추경",VLOOKUP($N196,데이터입력!$A:$H,5,FALSE),""),"")</f>
        <v/>
      </c>
      <c r="T196" s="618" t="str">
        <f>IFERROR(IF(데이터입력!$AE$2="추경",VLOOKUP($N196,데이터입력!$A:$H,6,FALSE),""),"")</f>
        <v/>
      </c>
      <c r="U196" s="619" t="str">
        <f>IFERROR(IF(데이터입력!$AE$2="추경",VLOOKUP($N196,데이터입력!$A:$L,8,FALSE)+VLOOKUP($N196,데이터입력!$A:$L,9,FALSE)+VLOOKUP($N196,데이터입력!$A:$L,10,FALSE),""),"")</f>
        <v/>
      </c>
      <c r="V196" s="620" t="s">
        <v>135</v>
      </c>
      <c r="W196" s="620" t="s">
        <v>135</v>
      </c>
      <c r="X196" s="620" t="s">
        <v>135</v>
      </c>
      <c r="Y196" s="601"/>
      <c r="Z196" s="182" t="str">
        <f>데이터입력!$AB$8</f>
        <v>00</v>
      </c>
      <c r="AA196" s="185" t="str">
        <f>데이터입력!$AC$9</f>
        <v>일반사업[일반]</v>
      </c>
      <c r="AB196" s="183" t="str">
        <f>IFERROR(IF(데이터입력!$AE$2="추경",VLOOKUP($A196,#REF!,4,FALSE),""),"")</f>
        <v/>
      </c>
      <c r="AC196" s="183" t="str">
        <f>IFERROR(IF(데이터입력!$AE$2="추경",VLOOKUP($A196,#REF!,5,FALSE),""),"")</f>
        <v/>
      </c>
      <c r="AD196" s="183" t="str">
        <f>IFERROR(IF(데이터입력!$AE$2="추경",VLOOKUP($A196,#REF!,6,FALSE),""),"")</f>
        <v/>
      </c>
      <c r="AE196" s="183" t="str">
        <f>IFERROR(IF(데이터입력!$AE$2="추경",VLOOKUP($A196,#REF!,7,FALSE),""),"")</f>
        <v/>
      </c>
      <c r="AF196" s="183"/>
      <c r="AG196" s="184" t="str">
        <f>IFERROR(IF(데이터입력!$AE$2="추경",VLOOKUP($A196,#REF!,9,FALSE),""),"")</f>
        <v/>
      </c>
      <c r="AH196" s="184" t="str">
        <f>IFERROR(IF(데이터입력!$AE$2="추경",VLOOKUP($A196,#REF!,10,FALSE),""),"")</f>
        <v/>
      </c>
      <c r="AI196" s="184" t="str">
        <f>IFERROR(IF(데이터입력!$AE$2="추경",VLOOKUP($A196,#REF!,11,FALSE),""),"")</f>
        <v/>
      </c>
      <c r="AJ196" s="184" t="str">
        <f>IFERROR(IF(데이터입력!$AE$2="추경",VLOOKUP($A196,#REF!,12,FALSE),""),"")</f>
        <v/>
      </c>
      <c r="AK196" s="184" t="str">
        <f>IFERROR(IF(데이터입력!$AE$2="추경",VLOOKUP($A196,#REF!,13,FALSE),""),"")</f>
        <v/>
      </c>
    </row>
    <row r="197" spans="1:37">
      <c r="A197" s="180">
        <v>195</v>
      </c>
      <c r="B197" s="608" t="str">
        <f>IFERROR(IF(F197="06",데이터입력!$AB$8,IF(F197="07",데이터입력!$AD$8,IF(F197="05",데이터입력!$AF$8,데이터입력!$AB$8))),데이터입력!$AB$8)</f>
        <v>00</v>
      </c>
      <c r="C197" s="609" t="str">
        <f>데이터입력!$AC$9</f>
        <v>일반사업[일반]</v>
      </c>
      <c r="D197" s="610" t="str">
        <f>IFERROR(IF(AND(데이터입력!$AE$2="추경",데이터입력!$AM$2=TRUE),VLOOKUP($A197,데이터입력!$A:$H,4,FALSE),""),"")</f>
        <v/>
      </c>
      <c r="E197" s="610" t="str">
        <f>IFERROR(IF(AND(데이터입력!$AE$2="추경",데이터입력!$AM$2=TRUE),VLOOKUP($A197,데이터입력!$A:$H,2,FALSE),""),"")</f>
        <v/>
      </c>
      <c r="F197" s="610" t="str">
        <f>IFERROR(IF(AND(데이터입력!$AE$2="추경",데이터입력!$AM$2=TRUE),VLOOKUP($A197,데이터입력!$A:$H,5,FALSE),""),"")</f>
        <v/>
      </c>
      <c r="G197" s="610" t="str">
        <f>IFERROR(IF(AND(데이터입력!$AE$2="추경",데이터입력!$AM$2=TRUE),VLOOKUP($A197,데이터입력!$A:$H,6,FALSE),""),"")</f>
        <v/>
      </c>
      <c r="H197" s="611" t="str">
        <f>IFERROR(IF(AND(데이터입력!$AE$2="추경",데이터입력!$AM$2=TRUE),VLOOKUP($A197,데이터입력!$A:$L,7,FALSE),""),"")</f>
        <v/>
      </c>
      <c r="I197" s="611" t="str">
        <f>IFERROR(IF(AND(데이터입력!$AE$2="추경",데이터입력!$AM$2=TRUE),VLOOKUP($A197,데이터입력!$A:$L,8,FALSE)+VLOOKUP($A197,데이터입력!$A:$L,9,FALSE)+VLOOKUP($A197,데이터입력!$A:$L,10,FALSE),""),"")</f>
        <v/>
      </c>
      <c r="J197" s="612" t="s">
        <v>135</v>
      </c>
      <c r="K197" s="612" t="s">
        <v>135</v>
      </c>
      <c r="L197" s="612" t="s">
        <v>135</v>
      </c>
      <c r="M197" s="604"/>
      <c r="N197" s="180">
        <v>395</v>
      </c>
      <c r="O197" s="616" t="str">
        <f>IFERROR(IF(S197="06",데이터입력!$AB$8,IF(S197="07",데이터입력!$AD$8,IF(S197="05",데이터입력!$AF$8,데이터입력!$AB$8))),데이터입력!$AB$8)</f>
        <v>00</v>
      </c>
      <c r="P197" s="617" t="str">
        <f>데이터입력!$AC$9</f>
        <v>일반사업[일반]</v>
      </c>
      <c r="Q197" s="618" t="str">
        <f>IFERROR(IF(데이터입력!$AE$2="추경",VLOOKUP($N197,데이터입력!$A:$H,4,FALSE),""),"")</f>
        <v/>
      </c>
      <c r="R197" s="618" t="str">
        <f>IFERROR(IF(데이터입력!$AE$2="추경",VLOOKUP($N197,데이터입력!$A:$H,2,FALSE),""),"")</f>
        <v/>
      </c>
      <c r="S197" s="618" t="str">
        <f>IFERROR(IF(데이터입력!$AE$2="추경",VLOOKUP($N197,데이터입력!$A:$H,5,FALSE),""),"")</f>
        <v/>
      </c>
      <c r="T197" s="618" t="str">
        <f>IFERROR(IF(데이터입력!$AE$2="추경",VLOOKUP($N197,데이터입력!$A:$H,6,FALSE),""),"")</f>
        <v/>
      </c>
      <c r="U197" s="619" t="str">
        <f>IFERROR(IF(데이터입력!$AE$2="추경",VLOOKUP($N197,데이터입력!$A:$L,8,FALSE)+VLOOKUP($N197,데이터입력!$A:$L,9,FALSE)+VLOOKUP($N197,데이터입력!$A:$L,10,FALSE),""),"")</f>
        <v/>
      </c>
      <c r="V197" s="620" t="s">
        <v>135</v>
      </c>
      <c r="W197" s="620" t="s">
        <v>135</v>
      </c>
      <c r="X197" s="620" t="s">
        <v>135</v>
      </c>
      <c r="Y197" s="601"/>
      <c r="Z197" s="182" t="str">
        <f>데이터입력!$AB$8</f>
        <v>00</v>
      </c>
      <c r="AA197" s="185" t="str">
        <f>데이터입력!$AC$9</f>
        <v>일반사업[일반]</v>
      </c>
      <c r="AB197" s="183" t="str">
        <f>IFERROR(IF(데이터입력!$AE$2="추경",VLOOKUP($A197,#REF!,4,FALSE),""),"")</f>
        <v/>
      </c>
      <c r="AC197" s="183" t="str">
        <f>IFERROR(IF(데이터입력!$AE$2="추경",VLOOKUP($A197,#REF!,5,FALSE),""),"")</f>
        <v/>
      </c>
      <c r="AD197" s="183" t="str">
        <f>IFERROR(IF(데이터입력!$AE$2="추경",VLOOKUP($A197,#REF!,6,FALSE),""),"")</f>
        <v/>
      </c>
      <c r="AE197" s="183" t="str">
        <f>IFERROR(IF(데이터입력!$AE$2="추경",VLOOKUP($A197,#REF!,7,FALSE),""),"")</f>
        <v/>
      </c>
      <c r="AF197" s="183"/>
      <c r="AG197" s="184" t="str">
        <f>IFERROR(IF(데이터입력!$AE$2="추경",VLOOKUP($A197,#REF!,9,FALSE),""),"")</f>
        <v/>
      </c>
      <c r="AH197" s="184" t="str">
        <f>IFERROR(IF(데이터입력!$AE$2="추경",VLOOKUP($A197,#REF!,10,FALSE),""),"")</f>
        <v/>
      </c>
      <c r="AI197" s="184" t="str">
        <f>IFERROR(IF(데이터입력!$AE$2="추경",VLOOKUP($A197,#REF!,11,FALSE),""),"")</f>
        <v/>
      </c>
      <c r="AJ197" s="184" t="str">
        <f>IFERROR(IF(데이터입력!$AE$2="추경",VLOOKUP($A197,#REF!,12,FALSE),""),"")</f>
        <v/>
      </c>
      <c r="AK197" s="184" t="str">
        <f>IFERROR(IF(데이터입력!$AE$2="추경",VLOOKUP($A197,#REF!,13,FALSE),""),"")</f>
        <v/>
      </c>
    </row>
    <row r="198" spans="1:37">
      <c r="A198" s="180">
        <v>196</v>
      </c>
      <c r="B198" s="608" t="str">
        <f>IFERROR(IF(F198="06",데이터입력!$AB$8,IF(F198="07",데이터입력!$AD$8,IF(F198="05",데이터입력!$AF$8,데이터입력!$AB$8))),데이터입력!$AB$8)</f>
        <v>00</v>
      </c>
      <c r="C198" s="609" t="str">
        <f>데이터입력!$AC$9</f>
        <v>일반사업[일반]</v>
      </c>
      <c r="D198" s="610" t="str">
        <f>IFERROR(IF(AND(데이터입력!$AE$2="추경",데이터입력!$AM$2=TRUE),VLOOKUP($A198,데이터입력!$A:$H,4,FALSE),""),"")</f>
        <v/>
      </c>
      <c r="E198" s="610" t="str">
        <f>IFERROR(IF(AND(데이터입력!$AE$2="추경",데이터입력!$AM$2=TRUE),VLOOKUP($A198,데이터입력!$A:$H,2,FALSE),""),"")</f>
        <v/>
      </c>
      <c r="F198" s="610" t="str">
        <f>IFERROR(IF(AND(데이터입력!$AE$2="추경",데이터입력!$AM$2=TRUE),VLOOKUP($A198,데이터입력!$A:$H,5,FALSE),""),"")</f>
        <v/>
      </c>
      <c r="G198" s="610" t="str">
        <f>IFERROR(IF(AND(데이터입력!$AE$2="추경",데이터입력!$AM$2=TRUE),VLOOKUP($A198,데이터입력!$A:$H,6,FALSE),""),"")</f>
        <v/>
      </c>
      <c r="H198" s="611" t="str">
        <f>IFERROR(IF(AND(데이터입력!$AE$2="추경",데이터입력!$AM$2=TRUE),VLOOKUP($A198,데이터입력!$A:$L,7,FALSE),""),"")</f>
        <v/>
      </c>
      <c r="I198" s="611" t="str">
        <f>IFERROR(IF(AND(데이터입력!$AE$2="추경",데이터입력!$AM$2=TRUE),VLOOKUP($A198,데이터입력!$A:$L,8,FALSE)+VLOOKUP($A198,데이터입력!$A:$L,9,FALSE)+VLOOKUP($A198,데이터입력!$A:$L,10,FALSE),""),"")</f>
        <v/>
      </c>
      <c r="J198" s="612" t="s">
        <v>135</v>
      </c>
      <c r="K198" s="612" t="s">
        <v>135</v>
      </c>
      <c r="L198" s="612" t="s">
        <v>135</v>
      </c>
      <c r="M198" s="604"/>
      <c r="N198" s="180">
        <v>396</v>
      </c>
      <c r="O198" s="616" t="str">
        <f>IFERROR(IF(S198="06",데이터입력!$AB$8,IF(S198="07",데이터입력!$AD$8,IF(S198="05",데이터입력!$AF$8,데이터입력!$AB$8))),데이터입력!$AB$8)</f>
        <v>00</v>
      </c>
      <c r="P198" s="617" t="str">
        <f>데이터입력!$AC$9</f>
        <v>일반사업[일반]</v>
      </c>
      <c r="Q198" s="618" t="str">
        <f>IFERROR(IF(데이터입력!$AE$2="추경",VLOOKUP($N198,데이터입력!$A:$H,4,FALSE),""),"")</f>
        <v/>
      </c>
      <c r="R198" s="618" t="str">
        <f>IFERROR(IF(데이터입력!$AE$2="추경",VLOOKUP($N198,데이터입력!$A:$H,2,FALSE),""),"")</f>
        <v/>
      </c>
      <c r="S198" s="618" t="str">
        <f>IFERROR(IF(데이터입력!$AE$2="추경",VLOOKUP($N198,데이터입력!$A:$H,5,FALSE),""),"")</f>
        <v/>
      </c>
      <c r="T198" s="618" t="str">
        <f>IFERROR(IF(데이터입력!$AE$2="추경",VLOOKUP($N198,데이터입력!$A:$H,6,FALSE),""),"")</f>
        <v/>
      </c>
      <c r="U198" s="619" t="str">
        <f>IFERROR(IF(데이터입력!$AE$2="추경",VLOOKUP($N198,데이터입력!$A:$L,8,FALSE)+VLOOKUP($N198,데이터입력!$A:$L,9,FALSE)+VLOOKUP($N198,데이터입력!$A:$L,10,FALSE),""),"")</f>
        <v/>
      </c>
      <c r="V198" s="620" t="s">
        <v>135</v>
      </c>
      <c r="W198" s="620" t="s">
        <v>135</v>
      </c>
      <c r="X198" s="620" t="s">
        <v>135</v>
      </c>
      <c r="Y198" s="601"/>
      <c r="Z198" s="182" t="str">
        <f>데이터입력!$AB$8</f>
        <v>00</v>
      </c>
      <c r="AA198" s="185" t="str">
        <f>데이터입력!$AC$9</f>
        <v>일반사업[일반]</v>
      </c>
      <c r="AB198" s="183" t="str">
        <f>IFERROR(IF(데이터입력!$AE$2="추경",VLOOKUP($A198,#REF!,4,FALSE),""),"")</f>
        <v/>
      </c>
      <c r="AC198" s="183" t="str">
        <f>IFERROR(IF(데이터입력!$AE$2="추경",VLOOKUP($A198,#REF!,5,FALSE),""),"")</f>
        <v/>
      </c>
      <c r="AD198" s="183" t="str">
        <f>IFERROR(IF(데이터입력!$AE$2="추경",VLOOKUP($A198,#REF!,6,FALSE),""),"")</f>
        <v/>
      </c>
      <c r="AE198" s="183" t="str">
        <f>IFERROR(IF(데이터입력!$AE$2="추경",VLOOKUP($A198,#REF!,7,FALSE),""),"")</f>
        <v/>
      </c>
      <c r="AF198" s="183"/>
      <c r="AG198" s="184" t="str">
        <f>IFERROR(IF(데이터입력!$AE$2="추경",VLOOKUP($A198,#REF!,9,FALSE),""),"")</f>
        <v/>
      </c>
      <c r="AH198" s="184" t="str">
        <f>IFERROR(IF(데이터입력!$AE$2="추경",VLOOKUP($A198,#REF!,10,FALSE),""),"")</f>
        <v/>
      </c>
      <c r="AI198" s="184" t="str">
        <f>IFERROR(IF(데이터입력!$AE$2="추경",VLOOKUP($A198,#REF!,11,FALSE),""),"")</f>
        <v/>
      </c>
      <c r="AJ198" s="184" t="str">
        <f>IFERROR(IF(데이터입력!$AE$2="추경",VLOOKUP($A198,#REF!,12,FALSE),""),"")</f>
        <v/>
      </c>
      <c r="AK198" s="184" t="str">
        <f>IFERROR(IF(데이터입력!$AE$2="추경",VLOOKUP($A198,#REF!,13,FALSE),""),"")</f>
        <v/>
      </c>
    </row>
    <row r="199" spans="1:37">
      <c r="A199" s="180">
        <v>197</v>
      </c>
      <c r="B199" s="608" t="str">
        <f>IFERROR(IF(F199="06",데이터입력!$AB$8,IF(F199="07",데이터입력!$AD$8,IF(F199="05",데이터입력!$AF$8,데이터입력!$AB$8))),데이터입력!$AB$8)</f>
        <v>00</v>
      </c>
      <c r="C199" s="609" t="str">
        <f>데이터입력!$AC$9</f>
        <v>일반사업[일반]</v>
      </c>
      <c r="D199" s="610" t="str">
        <f>IFERROR(IF(AND(데이터입력!$AE$2="추경",데이터입력!$AM$2=TRUE),VLOOKUP($A199,데이터입력!$A:$H,4,FALSE),""),"")</f>
        <v/>
      </c>
      <c r="E199" s="610" t="str">
        <f>IFERROR(IF(AND(데이터입력!$AE$2="추경",데이터입력!$AM$2=TRUE),VLOOKUP($A199,데이터입력!$A:$H,2,FALSE),""),"")</f>
        <v/>
      </c>
      <c r="F199" s="610" t="str">
        <f>IFERROR(IF(AND(데이터입력!$AE$2="추경",데이터입력!$AM$2=TRUE),VLOOKUP($A199,데이터입력!$A:$H,5,FALSE),""),"")</f>
        <v/>
      </c>
      <c r="G199" s="610" t="str">
        <f>IFERROR(IF(AND(데이터입력!$AE$2="추경",데이터입력!$AM$2=TRUE),VLOOKUP($A199,데이터입력!$A:$H,6,FALSE),""),"")</f>
        <v/>
      </c>
      <c r="H199" s="611" t="str">
        <f>IFERROR(IF(AND(데이터입력!$AE$2="추경",데이터입력!$AM$2=TRUE),VLOOKUP($A199,데이터입력!$A:$L,7,FALSE),""),"")</f>
        <v/>
      </c>
      <c r="I199" s="611" t="str">
        <f>IFERROR(IF(AND(데이터입력!$AE$2="추경",데이터입력!$AM$2=TRUE),VLOOKUP($A199,데이터입력!$A:$L,8,FALSE)+VLOOKUP($A199,데이터입력!$A:$L,9,FALSE)+VLOOKUP($A199,데이터입력!$A:$L,10,FALSE),""),"")</f>
        <v/>
      </c>
      <c r="J199" s="612" t="s">
        <v>135</v>
      </c>
      <c r="K199" s="612" t="s">
        <v>135</v>
      </c>
      <c r="L199" s="612" t="s">
        <v>135</v>
      </c>
      <c r="M199" s="604"/>
      <c r="N199" s="180">
        <v>397</v>
      </c>
      <c r="O199" s="616" t="str">
        <f>IFERROR(IF(S199="06",데이터입력!$AB$8,IF(S199="07",데이터입력!$AD$8,IF(S199="05",데이터입력!$AF$8,데이터입력!$AB$8))),데이터입력!$AB$8)</f>
        <v>00</v>
      </c>
      <c r="P199" s="617" t="str">
        <f>데이터입력!$AC$9</f>
        <v>일반사업[일반]</v>
      </c>
      <c r="Q199" s="618" t="str">
        <f>IFERROR(IF(데이터입력!$AE$2="추경",VLOOKUP($N199,데이터입력!$A:$H,4,FALSE),""),"")</f>
        <v/>
      </c>
      <c r="R199" s="618" t="str">
        <f>IFERROR(IF(데이터입력!$AE$2="추경",VLOOKUP($N199,데이터입력!$A:$H,2,FALSE),""),"")</f>
        <v/>
      </c>
      <c r="S199" s="618" t="str">
        <f>IFERROR(IF(데이터입력!$AE$2="추경",VLOOKUP($N199,데이터입력!$A:$H,5,FALSE),""),"")</f>
        <v/>
      </c>
      <c r="T199" s="618" t="str">
        <f>IFERROR(IF(데이터입력!$AE$2="추경",VLOOKUP($N199,데이터입력!$A:$H,6,FALSE),""),"")</f>
        <v/>
      </c>
      <c r="U199" s="619" t="str">
        <f>IFERROR(IF(데이터입력!$AE$2="추경",VLOOKUP($N199,데이터입력!$A:$L,8,FALSE)+VLOOKUP($N199,데이터입력!$A:$L,9,FALSE)+VLOOKUP($N199,데이터입력!$A:$L,10,FALSE),""),"")</f>
        <v/>
      </c>
      <c r="V199" s="620" t="s">
        <v>135</v>
      </c>
      <c r="W199" s="620" t="s">
        <v>135</v>
      </c>
      <c r="X199" s="620" t="s">
        <v>135</v>
      </c>
      <c r="Y199" s="601"/>
      <c r="Z199" s="182" t="str">
        <f>데이터입력!$AB$8</f>
        <v>00</v>
      </c>
      <c r="AA199" s="185" t="str">
        <f>데이터입력!$AC$9</f>
        <v>일반사업[일반]</v>
      </c>
      <c r="AB199" s="183" t="str">
        <f>IFERROR(IF(데이터입력!$AE$2="추경",VLOOKUP($A199,#REF!,4,FALSE),""),"")</f>
        <v/>
      </c>
      <c r="AC199" s="183" t="str">
        <f>IFERROR(IF(데이터입력!$AE$2="추경",VLOOKUP($A199,#REF!,5,FALSE),""),"")</f>
        <v/>
      </c>
      <c r="AD199" s="183" t="str">
        <f>IFERROR(IF(데이터입력!$AE$2="추경",VLOOKUP($A199,#REF!,6,FALSE),""),"")</f>
        <v/>
      </c>
      <c r="AE199" s="183" t="str">
        <f>IFERROR(IF(데이터입력!$AE$2="추경",VLOOKUP($A199,#REF!,7,FALSE),""),"")</f>
        <v/>
      </c>
      <c r="AF199" s="183"/>
      <c r="AG199" s="184" t="str">
        <f>IFERROR(IF(데이터입력!$AE$2="추경",VLOOKUP($A199,#REF!,9,FALSE),""),"")</f>
        <v/>
      </c>
      <c r="AH199" s="184" t="str">
        <f>IFERROR(IF(데이터입력!$AE$2="추경",VLOOKUP($A199,#REF!,10,FALSE),""),"")</f>
        <v/>
      </c>
      <c r="AI199" s="184" t="str">
        <f>IFERROR(IF(데이터입력!$AE$2="추경",VLOOKUP($A199,#REF!,11,FALSE),""),"")</f>
        <v/>
      </c>
      <c r="AJ199" s="184" t="str">
        <f>IFERROR(IF(데이터입력!$AE$2="추경",VLOOKUP($A199,#REF!,12,FALSE),""),"")</f>
        <v/>
      </c>
      <c r="AK199" s="184" t="str">
        <f>IFERROR(IF(데이터입력!$AE$2="추경",VLOOKUP($A199,#REF!,13,FALSE),""),"")</f>
        <v/>
      </c>
    </row>
    <row r="200" spans="1:37">
      <c r="A200" s="180">
        <v>198</v>
      </c>
      <c r="B200" s="608" t="str">
        <f>IFERROR(IF(F200="06",데이터입력!$AB$8,IF(F200="07",데이터입력!$AD$8,IF(F200="05",데이터입력!$AF$8,데이터입력!$AB$8))),데이터입력!$AB$8)</f>
        <v>00</v>
      </c>
      <c r="C200" s="609" t="str">
        <f>데이터입력!$AC$9</f>
        <v>일반사업[일반]</v>
      </c>
      <c r="D200" s="610" t="str">
        <f>IFERROR(IF(AND(데이터입력!$AE$2="추경",데이터입력!$AM$2=TRUE),VLOOKUP($A200,데이터입력!$A:$H,4,FALSE),""),"")</f>
        <v/>
      </c>
      <c r="E200" s="610" t="str">
        <f>IFERROR(IF(AND(데이터입력!$AE$2="추경",데이터입력!$AM$2=TRUE),VLOOKUP($A200,데이터입력!$A:$H,2,FALSE),""),"")</f>
        <v/>
      </c>
      <c r="F200" s="610" t="str">
        <f>IFERROR(IF(AND(데이터입력!$AE$2="추경",데이터입력!$AM$2=TRUE),VLOOKUP($A200,데이터입력!$A:$H,5,FALSE),""),"")</f>
        <v/>
      </c>
      <c r="G200" s="610" t="str">
        <f>IFERROR(IF(AND(데이터입력!$AE$2="추경",데이터입력!$AM$2=TRUE),VLOOKUP($A200,데이터입력!$A:$H,6,FALSE),""),"")</f>
        <v/>
      </c>
      <c r="H200" s="611" t="str">
        <f>IFERROR(IF(AND(데이터입력!$AE$2="추경",데이터입력!$AM$2=TRUE),VLOOKUP($A200,데이터입력!$A:$L,7,FALSE),""),"")</f>
        <v/>
      </c>
      <c r="I200" s="611" t="str">
        <f>IFERROR(IF(AND(데이터입력!$AE$2="추경",데이터입력!$AM$2=TRUE),VLOOKUP($A200,데이터입력!$A:$L,8,FALSE)+VLOOKUP($A200,데이터입력!$A:$L,9,FALSE)+VLOOKUP($A200,데이터입력!$A:$L,10,FALSE),""),"")</f>
        <v/>
      </c>
      <c r="J200" s="612" t="s">
        <v>135</v>
      </c>
      <c r="K200" s="612" t="s">
        <v>135</v>
      </c>
      <c r="L200" s="612" t="s">
        <v>135</v>
      </c>
      <c r="M200" s="604"/>
      <c r="N200" s="180">
        <v>398</v>
      </c>
      <c r="O200" s="616" t="str">
        <f>IFERROR(IF(S200="06",데이터입력!$AB$8,IF(S200="07",데이터입력!$AD$8,IF(S200="05",데이터입력!$AF$8,데이터입력!$AB$8))),데이터입력!$AB$8)</f>
        <v>00</v>
      </c>
      <c r="P200" s="617" t="str">
        <f>데이터입력!$AC$9</f>
        <v>일반사업[일반]</v>
      </c>
      <c r="Q200" s="618" t="str">
        <f>IFERROR(IF(데이터입력!$AE$2="추경",VLOOKUP($N200,데이터입력!$A:$H,4,FALSE),""),"")</f>
        <v/>
      </c>
      <c r="R200" s="618" t="str">
        <f>IFERROR(IF(데이터입력!$AE$2="추경",VLOOKUP($N200,데이터입력!$A:$H,2,FALSE),""),"")</f>
        <v/>
      </c>
      <c r="S200" s="618" t="str">
        <f>IFERROR(IF(데이터입력!$AE$2="추경",VLOOKUP($N200,데이터입력!$A:$H,5,FALSE),""),"")</f>
        <v/>
      </c>
      <c r="T200" s="618" t="str">
        <f>IFERROR(IF(데이터입력!$AE$2="추경",VLOOKUP($N200,데이터입력!$A:$H,6,FALSE),""),"")</f>
        <v/>
      </c>
      <c r="U200" s="619" t="str">
        <f>IFERROR(IF(데이터입력!$AE$2="추경",VLOOKUP($N200,데이터입력!$A:$L,8,FALSE)+VLOOKUP($N200,데이터입력!$A:$L,9,FALSE)+VLOOKUP($N200,데이터입력!$A:$L,10,FALSE),""),"")</f>
        <v/>
      </c>
      <c r="V200" s="620" t="s">
        <v>135</v>
      </c>
      <c r="W200" s="620" t="s">
        <v>135</v>
      </c>
      <c r="X200" s="620" t="s">
        <v>135</v>
      </c>
      <c r="Y200" s="601"/>
      <c r="Z200" s="182" t="str">
        <f>데이터입력!$AB$8</f>
        <v>00</v>
      </c>
      <c r="AA200" s="185" t="str">
        <f>데이터입력!$AC$9</f>
        <v>일반사업[일반]</v>
      </c>
      <c r="AB200" s="183" t="str">
        <f>IFERROR(IF(데이터입력!$AE$2="추경",VLOOKUP($A200,#REF!,4,FALSE),""),"")</f>
        <v/>
      </c>
      <c r="AC200" s="183" t="str">
        <f>IFERROR(IF(데이터입력!$AE$2="추경",VLOOKUP($A200,#REF!,5,FALSE),""),"")</f>
        <v/>
      </c>
      <c r="AD200" s="183" t="str">
        <f>IFERROR(IF(데이터입력!$AE$2="추경",VLOOKUP($A200,#REF!,6,FALSE),""),"")</f>
        <v/>
      </c>
      <c r="AE200" s="183" t="str">
        <f>IFERROR(IF(데이터입력!$AE$2="추경",VLOOKUP($A200,#REF!,7,FALSE),""),"")</f>
        <v/>
      </c>
      <c r="AF200" s="183"/>
      <c r="AG200" s="184" t="str">
        <f>IFERROR(IF(데이터입력!$AE$2="추경",VLOOKUP($A200,#REF!,9,FALSE),""),"")</f>
        <v/>
      </c>
      <c r="AH200" s="184" t="str">
        <f>IFERROR(IF(데이터입력!$AE$2="추경",VLOOKUP($A200,#REF!,10,FALSE),""),"")</f>
        <v/>
      </c>
      <c r="AI200" s="184" t="str">
        <f>IFERROR(IF(데이터입력!$AE$2="추경",VLOOKUP($A200,#REF!,11,FALSE),""),"")</f>
        <v/>
      </c>
      <c r="AJ200" s="184" t="str">
        <f>IFERROR(IF(데이터입력!$AE$2="추경",VLOOKUP($A200,#REF!,12,FALSE),""),"")</f>
        <v/>
      </c>
      <c r="AK200" s="184" t="str">
        <f>IFERROR(IF(데이터입력!$AE$2="추경",VLOOKUP($A200,#REF!,13,FALSE),""),"")</f>
        <v/>
      </c>
    </row>
    <row r="201" spans="1:37">
      <c r="A201" s="180">
        <v>199</v>
      </c>
      <c r="B201" s="608" t="str">
        <f>IFERROR(IF(F201="06",데이터입력!$AB$8,IF(F201="07",데이터입력!$AD$8,IF(F201="05",데이터입력!$AF$8,데이터입력!$AB$8))),데이터입력!$AB$8)</f>
        <v>00</v>
      </c>
      <c r="C201" s="609" t="str">
        <f>데이터입력!$AC$9</f>
        <v>일반사업[일반]</v>
      </c>
      <c r="D201" s="610" t="str">
        <f>IFERROR(IF(AND(데이터입력!$AE$2="추경",데이터입력!$AM$2=TRUE),VLOOKUP($A201,데이터입력!$A:$H,4,FALSE),""),"")</f>
        <v/>
      </c>
      <c r="E201" s="610" t="str">
        <f>IFERROR(IF(AND(데이터입력!$AE$2="추경",데이터입력!$AM$2=TRUE),VLOOKUP($A201,데이터입력!$A:$H,2,FALSE),""),"")</f>
        <v/>
      </c>
      <c r="F201" s="610" t="str">
        <f>IFERROR(IF(AND(데이터입력!$AE$2="추경",데이터입력!$AM$2=TRUE),VLOOKUP($A201,데이터입력!$A:$H,5,FALSE),""),"")</f>
        <v/>
      </c>
      <c r="G201" s="610" t="str">
        <f>IFERROR(IF(AND(데이터입력!$AE$2="추경",데이터입력!$AM$2=TRUE),VLOOKUP($A201,데이터입력!$A:$H,6,FALSE),""),"")</f>
        <v/>
      </c>
      <c r="H201" s="611" t="str">
        <f>IFERROR(IF(AND(데이터입력!$AE$2="추경",데이터입력!$AM$2=TRUE),VLOOKUP($A201,데이터입력!$A:$L,7,FALSE),""),"")</f>
        <v/>
      </c>
      <c r="I201" s="611" t="str">
        <f>IFERROR(IF(AND(데이터입력!$AE$2="추경",데이터입력!$AM$2=TRUE),VLOOKUP($A201,데이터입력!$A:$L,8,FALSE)+VLOOKUP($A201,데이터입력!$A:$L,9,FALSE)+VLOOKUP($A201,데이터입력!$A:$L,10,FALSE),""),"")</f>
        <v/>
      </c>
      <c r="J201" s="612" t="s">
        <v>135</v>
      </c>
      <c r="K201" s="612" t="s">
        <v>135</v>
      </c>
      <c r="L201" s="612" t="s">
        <v>135</v>
      </c>
      <c r="M201" s="604"/>
      <c r="N201" s="180">
        <v>399</v>
      </c>
      <c r="O201" s="616" t="str">
        <f>IFERROR(IF(S201="06",데이터입력!$AB$8,IF(S201="07",데이터입력!$AD$8,IF(S201="05",데이터입력!$AF$8,데이터입력!$AB$8))),데이터입력!$AB$8)</f>
        <v>00</v>
      </c>
      <c r="P201" s="617" t="str">
        <f>데이터입력!$AC$9</f>
        <v>일반사업[일반]</v>
      </c>
      <c r="Q201" s="618" t="str">
        <f>IFERROR(IF(데이터입력!$AE$2="추경",VLOOKUP($N201,데이터입력!$A:$H,4,FALSE),""),"")</f>
        <v/>
      </c>
      <c r="R201" s="618" t="str">
        <f>IFERROR(IF(데이터입력!$AE$2="추경",VLOOKUP($N201,데이터입력!$A:$H,2,FALSE),""),"")</f>
        <v/>
      </c>
      <c r="S201" s="618" t="str">
        <f>IFERROR(IF(데이터입력!$AE$2="추경",VLOOKUP($N201,데이터입력!$A:$H,5,FALSE),""),"")</f>
        <v/>
      </c>
      <c r="T201" s="618" t="str">
        <f>IFERROR(IF(데이터입력!$AE$2="추경",VLOOKUP($N201,데이터입력!$A:$H,6,FALSE),""),"")</f>
        <v/>
      </c>
      <c r="U201" s="619" t="str">
        <f>IFERROR(IF(데이터입력!$AE$2="추경",VLOOKUP($N201,데이터입력!$A:$L,8,FALSE)+VLOOKUP($N201,데이터입력!$A:$L,9,FALSE)+VLOOKUP($N201,데이터입력!$A:$L,10,FALSE),""),"")</f>
        <v/>
      </c>
      <c r="V201" s="620" t="s">
        <v>135</v>
      </c>
      <c r="W201" s="620" t="s">
        <v>135</v>
      </c>
      <c r="X201" s="620" t="s">
        <v>135</v>
      </c>
      <c r="Y201" s="601"/>
      <c r="Z201" s="182" t="str">
        <f>데이터입력!$AB$8</f>
        <v>00</v>
      </c>
      <c r="AA201" s="185" t="str">
        <f>데이터입력!$AC$9</f>
        <v>일반사업[일반]</v>
      </c>
      <c r="AB201" s="183" t="str">
        <f>IFERROR(IF(데이터입력!$AE$2="추경",VLOOKUP($A201,#REF!,4,FALSE),""),"")</f>
        <v/>
      </c>
      <c r="AC201" s="183" t="str">
        <f>IFERROR(IF(데이터입력!$AE$2="추경",VLOOKUP($A201,#REF!,5,FALSE),""),"")</f>
        <v/>
      </c>
      <c r="AD201" s="183" t="str">
        <f>IFERROR(IF(데이터입력!$AE$2="추경",VLOOKUP($A201,#REF!,6,FALSE),""),"")</f>
        <v/>
      </c>
      <c r="AE201" s="183" t="str">
        <f>IFERROR(IF(데이터입력!$AE$2="추경",VLOOKUP($A201,#REF!,7,FALSE),""),"")</f>
        <v/>
      </c>
      <c r="AF201" s="183"/>
      <c r="AG201" s="184" t="str">
        <f>IFERROR(IF(데이터입력!$AE$2="추경",VLOOKUP($A201,#REF!,9,FALSE),""),"")</f>
        <v/>
      </c>
      <c r="AH201" s="184" t="str">
        <f>IFERROR(IF(데이터입력!$AE$2="추경",VLOOKUP($A201,#REF!,10,FALSE),""),"")</f>
        <v/>
      </c>
      <c r="AI201" s="184" t="str">
        <f>IFERROR(IF(데이터입력!$AE$2="추경",VLOOKUP($A201,#REF!,11,FALSE),""),"")</f>
        <v/>
      </c>
      <c r="AJ201" s="184" t="str">
        <f>IFERROR(IF(데이터입력!$AE$2="추경",VLOOKUP($A201,#REF!,12,FALSE),""),"")</f>
        <v/>
      </c>
      <c r="AK201" s="184" t="str">
        <f>IFERROR(IF(데이터입력!$AE$2="추경",VLOOKUP($A201,#REF!,13,FALSE),""),"")</f>
        <v/>
      </c>
    </row>
    <row r="202" spans="1:37">
      <c r="A202" s="180">
        <v>200</v>
      </c>
      <c r="B202" s="608" t="str">
        <f>IFERROR(IF(F202="06",데이터입력!$AB$8,IF(F202="07",데이터입력!$AD$8,IF(F202="05",데이터입력!$AF$8,데이터입력!$AB$8))),데이터입력!$AB$8)</f>
        <v>00</v>
      </c>
      <c r="C202" s="609" t="str">
        <f>데이터입력!$AC$9</f>
        <v>일반사업[일반]</v>
      </c>
      <c r="D202" s="610" t="str">
        <f>IFERROR(IF(AND(데이터입력!$AE$2="추경",데이터입력!$AM$2=TRUE),VLOOKUP($A202,데이터입력!$A:$H,4,FALSE),""),"")</f>
        <v/>
      </c>
      <c r="E202" s="610" t="str">
        <f>IFERROR(IF(AND(데이터입력!$AE$2="추경",데이터입력!$AM$2=TRUE),VLOOKUP($A202,데이터입력!$A:$H,2,FALSE),""),"")</f>
        <v/>
      </c>
      <c r="F202" s="610" t="str">
        <f>IFERROR(IF(AND(데이터입력!$AE$2="추경",데이터입력!$AM$2=TRUE),VLOOKUP($A202,데이터입력!$A:$H,5,FALSE),""),"")</f>
        <v/>
      </c>
      <c r="G202" s="610" t="str">
        <f>IFERROR(IF(AND(데이터입력!$AE$2="추경",데이터입력!$AM$2=TRUE),VLOOKUP($A202,데이터입력!$A:$H,6,FALSE),""),"")</f>
        <v/>
      </c>
      <c r="H202" s="611" t="str">
        <f>IFERROR(IF(AND(데이터입력!$AE$2="추경",데이터입력!$AM$2=TRUE),VLOOKUP($A202,데이터입력!$A:$L,7,FALSE),""),"")</f>
        <v/>
      </c>
      <c r="I202" s="611" t="str">
        <f>IFERROR(IF(AND(데이터입력!$AE$2="추경",데이터입력!$AM$2=TRUE),VLOOKUP($A202,데이터입력!$A:$L,8,FALSE)+VLOOKUP($A202,데이터입력!$A:$L,9,FALSE)+VLOOKUP($A202,데이터입력!$A:$L,10,FALSE),""),"")</f>
        <v/>
      </c>
      <c r="J202" s="612" t="s">
        <v>135</v>
      </c>
      <c r="K202" s="612" t="s">
        <v>135</v>
      </c>
      <c r="L202" s="612" t="s">
        <v>135</v>
      </c>
      <c r="M202" s="604"/>
      <c r="N202" s="180">
        <v>400</v>
      </c>
      <c r="O202" s="616" t="str">
        <f>IFERROR(IF(S202="06",데이터입력!$AB$8,IF(S202="07",데이터입력!$AD$8,IF(S202="05",데이터입력!$AF$8,데이터입력!$AB$8))),데이터입력!$AB$8)</f>
        <v>00</v>
      </c>
      <c r="P202" s="617" t="str">
        <f>데이터입력!$AC$9</f>
        <v>일반사업[일반]</v>
      </c>
      <c r="Q202" s="618" t="str">
        <f>IFERROR(IF(데이터입력!$AE$2="추경",VLOOKUP($N202,데이터입력!$A:$H,4,FALSE),""),"")</f>
        <v/>
      </c>
      <c r="R202" s="618" t="str">
        <f>IFERROR(IF(데이터입력!$AE$2="추경",VLOOKUP($N202,데이터입력!$A:$H,2,FALSE),""),"")</f>
        <v/>
      </c>
      <c r="S202" s="618" t="str">
        <f>IFERROR(IF(데이터입력!$AE$2="추경",VLOOKUP($N202,데이터입력!$A:$H,5,FALSE),""),"")</f>
        <v/>
      </c>
      <c r="T202" s="618" t="str">
        <f>IFERROR(IF(데이터입력!$AE$2="추경",VLOOKUP($N202,데이터입력!$A:$H,6,FALSE),""),"")</f>
        <v/>
      </c>
      <c r="U202" s="619" t="str">
        <f>IFERROR(IF(데이터입력!$AE$2="추경",VLOOKUP($N202,데이터입력!$A:$L,8,FALSE)+VLOOKUP($N202,데이터입력!$A:$L,9,FALSE)+VLOOKUP($N202,데이터입력!$A:$L,10,FALSE),""),"")</f>
        <v/>
      </c>
      <c r="V202" s="620" t="s">
        <v>135</v>
      </c>
      <c r="W202" s="620" t="s">
        <v>135</v>
      </c>
      <c r="X202" s="620" t="s">
        <v>135</v>
      </c>
      <c r="Y202" s="601"/>
      <c r="Z202" s="182" t="str">
        <f>데이터입력!$AB$8</f>
        <v>00</v>
      </c>
      <c r="AA202" s="185" t="str">
        <f>데이터입력!$AC$9</f>
        <v>일반사업[일반]</v>
      </c>
      <c r="AB202" s="183" t="str">
        <f>IFERROR(IF(데이터입력!$AE$2="추경",VLOOKUP($A202,#REF!,4,FALSE),""),"")</f>
        <v/>
      </c>
      <c r="AC202" s="183" t="str">
        <f>IFERROR(IF(데이터입력!$AE$2="추경",VLOOKUP($A202,#REF!,5,FALSE),""),"")</f>
        <v/>
      </c>
      <c r="AD202" s="183" t="str">
        <f>IFERROR(IF(데이터입력!$AE$2="추경",VLOOKUP($A202,#REF!,6,FALSE),""),"")</f>
        <v/>
      </c>
      <c r="AE202" s="183" t="str">
        <f>IFERROR(IF(데이터입력!$AE$2="추경",VLOOKUP($A202,#REF!,7,FALSE),""),"")</f>
        <v/>
      </c>
      <c r="AF202" s="183"/>
      <c r="AG202" s="184" t="str">
        <f>IFERROR(IF(데이터입력!$AE$2="추경",VLOOKUP($A202,#REF!,9,FALSE),""),"")</f>
        <v/>
      </c>
      <c r="AH202" s="184" t="str">
        <f>IFERROR(IF(데이터입력!$AE$2="추경",VLOOKUP($A202,#REF!,10,FALSE),""),"")</f>
        <v/>
      </c>
      <c r="AI202" s="184" t="str">
        <f>IFERROR(IF(데이터입력!$AE$2="추경",VLOOKUP($A202,#REF!,11,FALSE),""),"")</f>
        <v/>
      </c>
      <c r="AJ202" s="184" t="str">
        <f>IFERROR(IF(데이터입력!$AE$2="추경",VLOOKUP($A202,#REF!,12,FALSE),""),"")</f>
        <v/>
      </c>
      <c r="AK202" s="184" t="str">
        <f>IFERROR(IF(데이터입력!$AE$2="추경",VLOOKUP($A202,#REF!,13,FALSE),""),"")</f>
        <v/>
      </c>
    </row>
    <row r="203" spans="1:37">
      <c r="Z203" s="192"/>
      <c r="AA203" s="192"/>
      <c r="AB203" s="192"/>
      <c r="AC203" s="192"/>
      <c r="AD203" s="192"/>
      <c r="AE203" s="192"/>
      <c r="AF203" s="192"/>
      <c r="AG203" s="192"/>
      <c r="AH203" s="192"/>
      <c r="AI203" s="192"/>
      <c r="AJ203" s="192"/>
      <c r="AK203" s="192"/>
    </row>
    <row r="204" spans="1:37">
      <c r="Z204" s="192"/>
      <c r="AA204" s="192"/>
      <c r="AB204" s="192"/>
      <c r="AC204" s="192"/>
      <c r="AD204" s="192"/>
      <c r="AE204" s="192"/>
      <c r="AF204" s="192"/>
      <c r="AG204" s="192"/>
      <c r="AH204" s="192"/>
      <c r="AI204" s="192"/>
      <c r="AJ204" s="192"/>
      <c r="AK204" s="192"/>
    </row>
    <row r="205" spans="1:37">
      <c r="Z205" s="192"/>
      <c r="AA205" s="192"/>
      <c r="AB205" s="192"/>
      <c r="AC205" s="192"/>
      <c r="AD205" s="192"/>
      <c r="AE205" s="192"/>
      <c r="AF205" s="192"/>
      <c r="AG205" s="192"/>
      <c r="AH205" s="192"/>
      <c r="AI205" s="192"/>
      <c r="AJ205" s="192"/>
      <c r="AK205" s="192"/>
    </row>
    <row r="206" spans="1:37">
      <c r="Z206" s="192"/>
      <c r="AA206" s="192"/>
      <c r="AB206" s="192"/>
      <c r="AC206" s="192"/>
      <c r="AD206" s="192"/>
      <c r="AE206" s="192"/>
      <c r="AF206" s="192"/>
      <c r="AG206" s="192"/>
      <c r="AH206" s="192"/>
      <c r="AI206" s="192"/>
      <c r="AJ206" s="192"/>
      <c r="AK206" s="192"/>
    </row>
  </sheetData>
  <mergeCells count="3">
    <mergeCell ref="B1:L1"/>
    <mergeCell ref="Z1:AK1"/>
    <mergeCell ref="O1:X1"/>
  </mergeCells>
  <phoneticPr fontId="1" type="noConversion"/>
  <conditionalFormatting sqref="E2 E203:E1048576">
    <cfRule type="duplicateValues" dxfId="11" priority="2"/>
  </conditionalFormatting>
  <conditionalFormatting sqref="R2 R203:R1048576">
    <cfRule type="duplicateValues" dxfId="10" priority="1"/>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1A538-373F-4301-BA3B-5F39E52B2D2C}">
  <sheetPr>
    <tabColor theme="4"/>
  </sheetPr>
  <dimension ref="A1:G14"/>
  <sheetViews>
    <sheetView view="pageBreakPreview" zoomScaleNormal="100" zoomScaleSheetLayoutView="100" workbookViewId="0">
      <selection activeCell="B8" sqref="B8"/>
    </sheetView>
  </sheetViews>
  <sheetFormatPr defaultRowHeight="16.5"/>
  <cols>
    <col min="1" max="1" width="1.25" style="46" customWidth="1"/>
    <col min="2" max="3" width="45" style="46" customWidth="1"/>
    <col min="4" max="4" width="9" style="46"/>
    <col min="5" max="5" width="11.125" style="46" bestFit="1" customWidth="1"/>
    <col min="6" max="7" width="9" style="48"/>
    <col min="8" max="16384" width="9" style="8"/>
  </cols>
  <sheetData>
    <row r="1" spans="2:7" s="46" customFormat="1" ht="17.25" thickBot="1">
      <c r="B1" s="45"/>
      <c r="C1" s="45"/>
    </row>
    <row r="2" spans="2:7" s="46" customFormat="1" ht="56.25" customHeight="1" thickTop="1">
      <c r="B2" s="1626" t="str">
        <f>데이터입력!$Y$1&amp;"년도 "&amp;IF(데이터입력!$AE$2="추경","예산서(추경"&amp;데이터입력!$AI$2&amp;"차)","예산서")</f>
        <v>2026년도 예산서</v>
      </c>
      <c r="C2" s="1626"/>
      <c r="D2" s="47"/>
      <c r="E2" s="1627" t="str">
        <f>데이터입력!$Y$1&amp;"년도 인건비비율"</f>
        <v>2026년도 인건비비율</v>
      </c>
      <c r="F2" s="1628"/>
    </row>
    <row r="3" spans="2:7" s="46" customFormat="1" ht="48.75" customHeight="1" thickBot="1">
      <c r="B3" s="1629"/>
      <c r="C3" s="1629"/>
      <c r="E3" s="1630">
        <f>데이터입력!$Y$12</f>
        <v>0</v>
      </c>
      <c r="F3" s="1631"/>
    </row>
    <row r="4" spans="2:7" s="46" customFormat="1" ht="48.75" customHeight="1" thickTop="1">
      <c r="B4" s="1625"/>
      <c r="C4" s="1625"/>
      <c r="E4" s="1627" t="s">
        <v>712</v>
      </c>
      <c r="F4" s="1628"/>
    </row>
    <row r="5" spans="2:7" s="46" customFormat="1" ht="71.25" customHeight="1" thickBot="1">
      <c r="B5" s="45"/>
      <c r="C5" s="45"/>
      <c r="E5" s="1633">
        <f>데이터입력!Y2</f>
        <v>46002</v>
      </c>
      <c r="F5" s="1634"/>
    </row>
    <row r="6" spans="2:7" s="46" customFormat="1" ht="57" customHeight="1" thickTop="1">
      <c r="B6" s="45"/>
      <c r="C6" s="45"/>
    </row>
    <row r="7" spans="2:7" s="46" customFormat="1" ht="28.5" customHeight="1">
      <c r="B7" s="1632"/>
      <c r="C7" s="1625"/>
    </row>
    <row r="8" spans="2:7" s="46" customFormat="1" ht="62.25" customHeight="1">
      <c r="B8" s="45"/>
      <c r="C8" s="45"/>
    </row>
    <row r="9" spans="2:7" s="46" customFormat="1" ht="43.5" customHeight="1">
      <c r="B9" s="1624" t="str">
        <f>IF(데이터입력!$AI$1="",데이터입력!$AB$1,데이터입력!$AB$1&amp;"("&amp;데이터입력!$AI$1&amp;")")</f>
        <v>(주)실버랜드</v>
      </c>
      <c r="C9" s="1624"/>
    </row>
    <row r="10" spans="2:7">
      <c r="B10" s="45"/>
      <c r="C10" s="45"/>
      <c r="F10" s="46"/>
      <c r="G10" s="46"/>
    </row>
    <row r="11" spans="2:7">
      <c r="B11" s="45"/>
      <c r="C11" s="45"/>
    </row>
    <row r="12" spans="2:7">
      <c r="B12" s="45"/>
      <c r="C12" s="45"/>
    </row>
    <row r="14" spans="2:7" ht="26.25">
      <c r="B14" s="1625"/>
      <c r="C14" s="1625"/>
    </row>
  </sheetData>
  <sheetProtection algorithmName="SHA-512" hashValue="KEW0DbKZljAgvFfpceW3X2t0fJSw9Hu9oCEsb8VbcPrui32do5iBjqIprf3Swy1On/wQNDMh7HIz+zh110E5QQ==" saltValue="TZUUdaXdYu4TpoYR2jPodA==" spinCount="100000" sheet="1" objects="1" scenarios="1"/>
  <mergeCells count="10">
    <mergeCell ref="B9:C9"/>
    <mergeCell ref="B14:C14"/>
    <mergeCell ref="B2:C2"/>
    <mergeCell ref="E2:F2"/>
    <mergeCell ref="B3:C3"/>
    <mergeCell ref="E3:F3"/>
    <mergeCell ref="B4:C4"/>
    <mergeCell ref="B7:C7"/>
    <mergeCell ref="E4:F4"/>
    <mergeCell ref="E5:F5"/>
  </mergeCells>
  <phoneticPr fontId="1" type="noConversion"/>
  <pageMargins left="0.7" right="0.7" top="0.75" bottom="0.75" header="0.3" footer="0.3"/>
  <pageSetup paperSize="9" scale="88"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F917B-6FAC-4BE3-B5D1-C8121E46CA71}">
  <sheetPr>
    <tabColor theme="4"/>
  </sheetPr>
  <dimension ref="A1:N25"/>
  <sheetViews>
    <sheetView view="pageBreakPreview" zoomScaleNormal="100" zoomScaleSheetLayoutView="100" workbookViewId="0">
      <selection activeCell="H4" sqref="H4"/>
    </sheetView>
  </sheetViews>
  <sheetFormatPr defaultRowHeight="16.5"/>
  <cols>
    <col min="1" max="1" width="1.375" style="49" customWidth="1"/>
    <col min="2" max="2" width="6.625" style="49" customWidth="1"/>
    <col min="3" max="3" width="6.125" style="49" customWidth="1"/>
    <col min="4" max="4" width="16.5" style="49" customWidth="1"/>
    <col min="5" max="7" width="25.125" style="49" customWidth="1"/>
    <col min="8" max="8" width="1.5" style="49" customWidth="1"/>
    <col min="9" max="14" width="9" style="1"/>
  </cols>
  <sheetData>
    <row r="1" spans="2:14">
      <c r="I1" s="49"/>
      <c r="J1" s="49"/>
      <c r="K1" s="49"/>
      <c r="L1" s="49"/>
      <c r="M1" s="49"/>
      <c r="N1" s="49"/>
    </row>
    <row r="2" spans="2:14">
      <c r="B2" s="50"/>
      <c r="C2" s="50"/>
      <c r="D2" s="50"/>
      <c r="E2" s="50"/>
      <c r="F2" s="50"/>
      <c r="G2" s="50"/>
      <c r="I2" s="49"/>
      <c r="J2" s="49"/>
      <c r="K2" s="49"/>
      <c r="L2" s="49"/>
      <c r="M2" s="49"/>
      <c r="N2" s="49"/>
    </row>
    <row r="3" spans="2:14" ht="38.25">
      <c r="B3" s="1636" t="str">
        <f>IF(데이터입력!$AE$2="추경",데이터입력!Y1&amp;"년도 예산총칙(추경"&amp;데이터입력!$AI$2&amp;"차)",데이터입력!Y1&amp;"년도 예산총칙")</f>
        <v>2026년도 예산총칙</v>
      </c>
      <c r="C3" s="1636"/>
      <c r="D3" s="1636"/>
      <c r="E3" s="1636"/>
      <c r="F3" s="1636"/>
      <c r="G3" s="1636"/>
      <c r="I3" s="49"/>
      <c r="J3" s="49"/>
      <c r="K3" s="49"/>
      <c r="L3" s="49"/>
      <c r="M3" s="49"/>
      <c r="N3" s="49"/>
    </row>
    <row r="4" spans="2:14">
      <c r="B4" s="1637"/>
      <c r="C4" s="1637"/>
      <c r="D4" s="1637"/>
      <c r="E4" s="1637"/>
      <c r="F4" s="1637"/>
      <c r="G4" s="1637"/>
      <c r="I4" s="49"/>
      <c r="J4" s="49"/>
      <c r="K4" s="49"/>
      <c r="L4" s="49"/>
      <c r="M4" s="49"/>
      <c r="N4" s="49"/>
    </row>
    <row r="5" spans="2:14">
      <c r="B5" s="1638" t="s">
        <v>270</v>
      </c>
      <c r="C5" s="1638"/>
      <c r="D5" s="1639" t="str">
        <f>데이터입력!Y1&amp;"년도 세입, 세출 예산 총액은 다음과 같다."</f>
        <v>2026년도 세입, 세출 예산 총액은 다음과 같다.</v>
      </c>
      <c r="E5" s="1639"/>
      <c r="F5" s="1639"/>
      <c r="G5" s="1639"/>
      <c r="I5" s="49"/>
      <c r="J5" s="49"/>
      <c r="K5" s="49"/>
      <c r="L5" s="49"/>
      <c r="M5" s="49"/>
      <c r="N5" s="49"/>
    </row>
    <row r="6" spans="2:14">
      <c r="B6" s="1640" t="s">
        <v>271</v>
      </c>
      <c r="C6" s="1640"/>
      <c r="D6" s="1640"/>
      <c r="E6" s="1640"/>
      <c r="F6" s="1640"/>
      <c r="G6" s="1640"/>
      <c r="I6" s="49"/>
      <c r="J6" s="49"/>
      <c r="K6" s="49"/>
      <c r="L6" s="49"/>
      <c r="M6" s="49"/>
      <c r="N6" s="49"/>
    </row>
    <row r="7" spans="2:14">
      <c r="B7" s="1635" t="s">
        <v>272</v>
      </c>
      <c r="C7" s="1635"/>
      <c r="D7" s="1635"/>
      <c r="E7" s="1635" t="s">
        <v>273</v>
      </c>
      <c r="F7" s="1635"/>
      <c r="G7" s="1635"/>
      <c r="I7" s="49"/>
      <c r="J7" s="49"/>
      <c r="K7" s="49"/>
      <c r="L7" s="49"/>
      <c r="M7" s="49"/>
      <c r="N7" s="49"/>
    </row>
    <row r="8" spans="2:14">
      <c r="B8" s="1635"/>
      <c r="C8" s="1635"/>
      <c r="D8" s="1635"/>
      <c r="E8" s="51" t="s">
        <v>274</v>
      </c>
      <c r="F8" s="52" t="s">
        <v>275</v>
      </c>
      <c r="G8" s="51" t="str">
        <f>IF(데이터입력!$AE$2="추경","증감(본예산대비)","증감(전년도대비)")</f>
        <v>증감(전년도대비)</v>
      </c>
      <c r="I8" s="49"/>
      <c r="J8" s="49"/>
      <c r="K8" s="49"/>
      <c r="L8" s="49"/>
      <c r="M8" s="49"/>
      <c r="N8" s="49"/>
    </row>
    <row r="9" spans="2:14">
      <c r="B9" s="1642" t="s">
        <v>276</v>
      </c>
      <c r="C9" s="1642"/>
      <c r="D9" s="53" t="str">
        <f>IF(데이터입력!$AE$2="추경",데이터입력!Y1&amp;"년도 추경",데이터입력!Y1&amp;"년도")</f>
        <v>2026년도</v>
      </c>
      <c r="E9" s="54">
        <f>총괄표!F17</f>
        <v>1835979</v>
      </c>
      <c r="F9" s="54">
        <f>총괄표!M17</f>
        <v>1835979</v>
      </c>
      <c r="G9" s="54">
        <f>총괄표!G17</f>
        <v>75575</v>
      </c>
      <c r="I9" s="49"/>
      <c r="J9" s="49"/>
      <c r="K9" s="49"/>
      <c r="L9" s="49"/>
      <c r="M9" s="49"/>
      <c r="N9" s="49"/>
    </row>
    <row r="10" spans="2:14">
      <c r="B10" s="1639"/>
      <c r="C10" s="1639"/>
      <c r="D10" s="1639"/>
      <c r="E10" s="1639"/>
      <c r="F10" s="1639"/>
      <c r="G10" s="1639"/>
      <c r="I10" s="49"/>
      <c r="J10" s="49"/>
      <c r="K10" s="49"/>
      <c r="L10" s="49"/>
      <c r="M10" s="49"/>
      <c r="N10" s="49"/>
    </row>
    <row r="11" spans="2:14">
      <c r="B11" s="1638" t="s">
        <v>277</v>
      </c>
      <c r="C11" s="1638"/>
      <c r="D11" s="50" t="s">
        <v>278</v>
      </c>
      <c r="E11" s="50"/>
      <c r="F11" s="50"/>
      <c r="G11" s="50"/>
      <c r="I11" s="49"/>
      <c r="J11" s="49"/>
      <c r="K11" s="49"/>
      <c r="L11" s="49"/>
      <c r="M11" s="49"/>
      <c r="N11" s="49"/>
    </row>
    <row r="12" spans="2:14">
      <c r="B12" s="1639"/>
      <c r="C12" s="1639"/>
      <c r="D12" s="1639"/>
      <c r="E12" s="1639"/>
      <c r="F12" s="1639"/>
      <c r="G12" s="1639"/>
      <c r="I12" s="49"/>
      <c r="J12" s="49"/>
      <c r="K12" s="49"/>
      <c r="L12" s="49"/>
      <c r="M12" s="49"/>
      <c r="N12" s="49"/>
    </row>
    <row r="13" spans="2:14">
      <c r="B13" s="1638" t="s">
        <v>279</v>
      </c>
      <c r="C13" s="1638"/>
      <c r="D13" s="55" t="str">
        <f>데이터입력!Y1&amp;"년도 차입금은  "&amp;세입예산서!$Y$123&amp;" 원 한도내에서  일시 차입할 수 있다."</f>
        <v>2026년도 차입금은  0 원 한도내에서  일시 차입할 수 있다.</v>
      </c>
      <c r="E13" s="55"/>
      <c r="F13" s="55"/>
      <c r="G13" s="55"/>
      <c r="I13" s="49"/>
      <c r="J13" s="49"/>
      <c r="K13" s="49"/>
      <c r="L13" s="49"/>
      <c r="M13" s="49"/>
      <c r="N13" s="49"/>
    </row>
    <row r="14" spans="2:14">
      <c r="B14" s="56"/>
      <c r="C14" s="56"/>
      <c r="D14" s="56"/>
      <c r="E14" s="56"/>
      <c r="F14" s="56"/>
      <c r="G14" s="56"/>
      <c r="I14" s="49"/>
      <c r="J14" s="49"/>
      <c r="K14" s="49"/>
      <c r="L14" s="49"/>
      <c r="M14" s="49"/>
      <c r="N14" s="49"/>
    </row>
    <row r="15" spans="2:14">
      <c r="B15" s="1638" t="s">
        <v>280</v>
      </c>
      <c r="C15" s="1638"/>
      <c r="D15" s="1639" t="str">
        <f>"일반회계 예비비는  "&amp;세출예산서!$Y$293&amp;" 원으로 한다."</f>
        <v>일반회계 예비비는  2000000 원으로 한다.</v>
      </c>
      <c r="E15" s="1639"/>
      <c r="F15" s="1639"/>
      <c r="G15" s="1639"/>
      <c r="I15" s="49"/>
      <c r="J15" s="49"/>
      <c r="K15" s="49"/>
      <c r="L15" s="49"/>
      <c r="M15" s="49"/>
      <c r="N15" s="49"/>
    </row>
    <row r="16" spans="2:14">
      <c r="B16" s="50"/>
      <c r="C16" s="50"/>
      <c r="D16" s="50"/>
      <c r="E16" s="50"/>
      <c r="F16" s="50"/>
      <c r="G16" s="50"/>
      <c r="I16" s="49"/>
      <c r="J16" s="49"/>
      <c r="K16" s="49"/>
      <c r="L16" s="49"/>
      <c r="M16" s="49"/>
      <c r="N16" s="49"/>
    </row>
    <row r="17" spans="2:14">
      <c r="B17" s="1638" t="s">
        <v>281</v>
      </c>
      <c r="C17" s="1638"/>
      <c r="D17" s="57" t="s">
        <v>282</v>
      </c>
      <c r="E17" s="50"/>
      <c r="F17" s="50"/>
      <c r="G17" s="50"/>
      <c r="I17" s="49"/>
      <c r="J17" s="49"/>
      <c r="K17" s="49"/>
      <c r="L17" s="49"/>
      <c r="M17" s="49"/>
      <c r="N17" s="49"/>
    </row>
    <row r="18" spans="2:14">
      <c r="B18" s="58"/>
      <c r="C18" s="58"/>
      <c r="D18" s="57" t="s">
        <v>283</v>
      </c>
      <c r="E18" s="50"/>
      <c r="F18" s="50"/>
      <c r="G18" s="50"/>
      <c r="I18" s="49"/>
      <c r="J18" s="49"/>
      <c r="K18" s="49"/>
      <c r="L18" s="49"/>
      <c r="M18" s="49"/>
      <c r="N18" s="49"/>
    </row>
    <row r="19" spans="2:14">
      <c r="B19" s="58"/>
      <c r="C19" s="58"/>
      <c r="D19" s="57" t="s">
        <v>284</v>
      </c>
      <c r="E19" s="50"/>
      <c r="F19" s="50"/>
      <c r="G19" s="50"/>
      <c r="I19" s="49"/>
      <c r="J19" s="49"/>
      <c r="K19" s="49"/>
      <c r="L19" s="49"/>
      <c r="M19" s="49"/>
      <c r="N19" s="49"/>
    </row>
    <row r="20" spans="2:14">
      <c r="B20" s="50"/>
      <c r="C20" s="50"/>
      <c r="D20" s="50"/>
      <c r="E20" s="50"/>
      <c r="F20" s="50"/>
      <c r="G20" s="50"/>
      <c r="I20" s="49"/>
      <c r="J20" s="49"/>
      <c r="K20" s="49"/>
      <c r="L20" s="49"/>
      <c r="M20" s="49"/>
      <c r="N20" s="49"/>
    </row>
    <row r="21" spans="2:14">
      <c r="B21" s="1638" t="s">
        <v>285</v>
      </c>
      <c r="C21" s="1638"/>
      <c r="D21" s="57" t="s">
        <v>286</v>
      </c>
      <c r="E21" s="50"/>
      <c r="F21" s="50"/>
      <c r="G21" s="50"/>
      <c r="I21" s="49"/>
      <c r="J21" s="49"/>
      <c r="K21" s="49"/>
      <c r="L21" s="49"/>
      <c r="M21" s="49"/>
      <c r="N21" s="49"/>
    </row>
    <row r="22" spans="2:14">
      <c r="B22" s="58"/>
      <c r="C22" s="58"/>
      <c r="D22" s="57" t="s">
        <v>287</v>
      </c>
      <c r="E22" s="50"/>
      <c r="F22" s="50"/>
      <c r="G22" s="50"/>
      <c r="I22" s="49"/>
      <c r="J22" s="49"/>
      <c r="K22" s="49"/>
      <c r="L22" s="49"/>
      <c r="M22" s="49"/>
      <c r="N22" s="49"/>
    </row>
    <row r="23" spans="2:14">
      <c r="B23" s="50"/>
      <c r="C23" s="50"/>
      <c r="D23" s="50" t="s">
        <v>288</v>
      </c>
      <c r="E23" s="50"/>
      <c r="F23" s="50"/>
      <c r="G23" s="50"/>
      <c r="I23" s="49"/>
      <c r="J23" s="49"/>
      <c r="K23" s="49"/>
      <c r="L23" s="49"/>
      <c r="M23" s="49"/>
      <c r="N23" s="49"/>
    </row>
    <row r="24" spans="2:14">
      <c r="B24" s="1641" t="str">
        <f>표지!B9</f>
        <v>(주)실버랜드</v>
      </c>
      <c r="C24" s="1641"/>
      <c r="D24" s="1641"/>
      <c r="E24" s="1641"/>
      <c r="F24" s="1641"/>
      <c r="G24" s="1641"/>
      <c r="I24" s="49"/>
      <c r="J24" s="49"/>
      <c r="K24" s="49"/>
      <c r="L24" s="49"/>
      <c r="M24" s="49"/>
      <c r="N24" s="49"/>
    </row>
    <row r="25" spans="2:14">
      <c r="I25" s="49"/>
      <c r="J25" s="49"/>
      <c r="K25" s="49"/>
      <c r="L25" s="49"/>
      <c r="M25" s="49"/>
      <c r="N25" s="49"/>
    </row>
  </sheetData>
  <sheetProtection algorithmName="SHA-512" hashValue="A+yi4U4FPTjjayVVt/UcO2WOWLZSxSk5dR5KyCaWGy1oUFRqejn6IWlgUY3veh38Owb9TPhxZWee9ojVFej3lg==" saltValue="glVNRLrKWLQFRyho/4tmIg==" spinCount="100000" sheet="1" objects="1" scenarios="1"/>
  <mergeCells count="17">
    <mergeCell ref="B17:C17"/>
    <mergeCell ref="B21:C21"/>
    <mergeCell ref="B24:G24"/>
    <mergeCell ref="B9:C9"/>
    <mergeCell ref="B10:G10"/>
    <mergeCell ref="B11:C11"/>
    <mergeCell ref="B12:G12"/>
    <mergeCell ref="B13:C13"/>
    <mergeCell ref="B15:C15"/>
    <mergeCell ref="D15:G15"/>
    <mergeCell ref="B7:D8"/>
    <mergeCell ref="E7:G7"/>
    <mergeCell ref="B3:G3"/>
    <mergeCell ref="B4:G4"/>
    <mergeCell ref="B5:C5"/>
    <mergeCell ref="D5:G5"/>
    <mergeCell ref="B6:G6"/>
  </mergeCells>
  <phoneticPr fontId="1" type="noConversion"/>
  <pageMargins left="0.7" right="0.7" top="0.75" bottom="0.75" header="0.3" footer="0.3"/>
  <pageSetup paperSize="9" scale="76"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C5ABF-18AE-495A-A3CB-8B16CE55A484}">
  <sheetPr>
    <tabColor theme="4"/>
  </sheetPr>
  <dimension ref="A1:U19"/>
  <sheetViews>
    <sheetView view="pageBreakPreview" zoomScale="85" zoomScaleNormal="100" zoomScaleSheetLayoutView="85" workbookViewId="0">
      <selection activeCell="A2" sqref="A2"/>
    </sheetView>
  </sheetViews>
  <sheetFormatPr defaultRowHeight="16.5"/>
  <cols>
    <col min="1" max="1" width="5.125" style="93" customWidth="1"/>
    <col min="2" max="2" width="12.875" style="93" customWidth="1"/>
    <col min="3" max="3" width="4.75" style="93" customWidth="1"/>
    <col min="4" max="4" width="17.875" style="93" customWidth="1"/>
    <col min="5" max="5" width="12.125" style="93" customWidth="1"/>
    <col min="6" max="6" width="13" style="93" customWidth="1"/>
    <col min="7" max="7" width="13" style="94" customWidth="1"/>
    <col min="8" max="8" width="5.625" style="94" customWidth="1"/>
    <col min="9" max="9" width="14.25" style="94" customWidth="1"/>
    <col min="10" max="10" width="5.125" style="94" customWidth="1"/>
    <col min="11" max="11" width="18" style="94" customWidth="1"/>
    <col min="12" max="12" width="12.375" style="94" customWidth="1"/>
    <col min="13" max="13" width="13.375" style="94" customWidth="1"/>
    <col min="14" max="14" width="12.875" style="94" customWidth="1"/>
  </cols>
  <sheetData>
    <row r="1" spans="1:21" s="97" customFormat="1" ht="51" customHeight="1">
      <c r="A1" s="1644" t="str">
        <f>IF(데이터입력!$AE$2="추경","세입, 세출 명세서 ("&amp;데이터입력!Y1&amp;"년도 추경"&amp;데이터입력!$AI$2&amp;"차)","세입, 세출 명세서 ("&amp;데이터입력!Y1&amp;"년도)")</f>
        <v>세입, 세출 명세서 (2026년도)</v>
      </c>
      <c r="B1" s="1644"/>
      <c r="C1" s="1644"/>
      <c r="D1" s="1644"/>
      <c r="E1" s="1644"/>
      <c r="F1" s="1644"/>
      <c r="G1" s="1644"/>
      <c r="H1" s="1644"/>
      <c r="I1" s="1644"/>
      <c r="J1" s="1644"/>
      <c r="K1" s="1644"/>
      <c r="L1" s="1644"/>
      <c r="M1" s="1644"/>
      <c r="N1" s="1644"/>
      <c r="O1" s="96"/>
      <c r="P1" s="96"/>
      <c r="Q1" s="96"/>
      <c r="R1" s="96"/>
      <c r="S1" s="96"/>
      <c r="T1" s="96"/>
      <c r="U1" s="96"/>
    </row>
    <row r="2" spans="1:21" s="97" customFormat="1" ht="17.25" thickBot="1">
      <c r="A2" s="59" t="s">
        <v>289</v>
      </c>
      <c r="B2" s="60"/>
      <c r="C2" s="60"/>
      <c r="D2" s="60"/>
      <c r="E2" s="60"/>
      <c r="F2" s="60"/>
      <c r="G2" s="61"/>
      <c r="H2" s="61"/>
      <c r="I2" s="61"/>
      <c r="J2" s="61"/>
      <c r="K2" s="61"/>
      <c r="L2" s="61"/>
      <c r="M2" s="61"/>
      <c r="N2" s="62" t="s">
        <v>290</v>
      </c>
    </row>
    <row r="3" spans="1:21" s="97" customFormat="1">
      <c r="A3" s="1645" t="s">
        <v>291</v>
      </c>
      <c r="B3" s="1646"/>
      <c r="C3" s="1647" t="s">
        <v>292</v>
      </c>
      <c r="D3" s="1646"/>
      <c r="E3" s="63" t="str">
        <f>IF(데이터입력!$AE$2="추경","본예산액","전년도예산액")</f>
        <v>전년도예산액</v>
      </c>
      <c r="F3" s="63" t="str">
        <f>IF(데이터입력!$AE$2="추경","추경예산액","예산액")</f>
        <v>예산액</v>
      </c>
      <c r="G3" s="64" t="s">
        <v>293</v>
      </c>
      <c r="H3" s="1645" t="s">
        <v>291</v>
      </c>
      <c r="I3" s="1646"/>
      <c r="J3" s="1647" t="s">
        <v>292</v>
      </c>
      <c r="K3" s="1646"/>
      <c r="L3" s="63" t="str">
        <f>IF(데이터입력!$AE$2="추경","본예산액","전년도예산액")</f>
        <v>전년도예산액</v>
      </c>
      <c r="M3" s="63" t="str">
        <f>IF(데이터입력!$AE$2="추경","추경예산액","예산액")</f>
        <v>예산액</v>
      </c>
      <c r="N3" s="64" t="s">
        <v>293</v>
      </c>
    </row>
    <row r="4" spans="1:21" s="97" customFormat="1" ht="36" customHeight="1">
      <c r="A4" s="65" t="s">
        <v>294</v>
      </c>
      <c r="B4" s="66" t="s">
        <v>295</v>
      </c>
      <c r="C4" s="67" t="s">
        <v>296</v>
      </c>
      <c r="D4" s="67" t="s">
        <v>4</v>
      </c>
      <c r="E4" s="68">
        <f>세입예산서!H4</f>
        <v>352004</v>
      </c>
      <c r="F4" s="68">
        <f>세입예산서!I4</f>
        <v>357740</v>
      </c>
      <c r="G4" s="68">
        <f>세입예산서!J4</f>
        <v>5736</v>
      </c>
      <c r="H4" s="69" t="s">
        <v>297</v>
      </c>
      <c r="I4" s="70" t="s">
        <v>298</v>
      </c>
      <c r="J4" s="67" t="s">
        <v>296</v>
      </c>
      <c r="K4" s="67" t="s">
        <v>39</v>
      </c>
      <c r="L4" s="68">
        <f>세출예산서!H5</f>
        <v>1021658</v>
      </c>
      <c r="M4" s="68">
        <f>세출예산서!I5</f>
        <v>0</v>
      </c>
      <c r="N4" s="286">
        <f>세출예산서!J5</f>
        <v>-1021658</v>
      </c>
    </row>
    <row r="5" spans="1:21" s="97" customFormat="1" ht="36" customHeight="1">
      <c r="A5" s="71" t="s">
        <v>299</v>
      </c>
      <c r="B5" s="72" t="s">
        <v>11</v>
      </c>
      <c r="C5" s="72" t="s">
        <v>296</v>
      </c>
      <c r="D5" s="73" t="s">
        <v>11</v>
      </c>
      <c r="E5" s="68">
        <f>세입예산서!H39</f>
        <v>0</v>
      </c>
      <c r="F5" s="68">
        <f>세입예산서!I39</f>
        <v>0</v>
      </c>
      <c r="G5" s="68">
        <f>세입예산서!J39</f>
        <v>0</v>
      </c>
      <c r="H5" s="75"/>
      <c r="I5" s="76"/>
      <c r="J5" s="72" t="s">
        <v>300</v>
      </c>
      <c r="K5" s="73" t="s">
        <v>301</v>
      </c>
      <c r="L5" s="68">
        <f>세출예산서!H73</f>
        <v>18756</v>
      </c>
      <c r="M5" s="68">
        <f>세출예산서!I73</f>
        <v>18756</v>
      </c>
      <c r="N5" s="286">
        <f>세출예산서!J73</f>
        <v>0</v>
      </c>
    </row>
    <row r="6" spans="1:21" s="97" customFormat="1" ht="36" customHeight="1">
      <c r="A6" s="71" t="s">
        <v>302</v>
      </c>
      <c r="B6" s="72" t="s">
        <v>12</v>
      </c>
      <c r="C6" s="72" t="s">
        <v>296</v>
      </c>
      <c r="D6" s="73" t="s">
        <v>12</v>
      </c>
      <c r="E6" s="68">
        <f>세입예산서!H43</f>
        <v>0</v>
      </c>
      <c r="F6" s="68">
        <f>세입예산서!I43</f>
        <v>0</v>
      </c>
      <c r="G6" s="68">
        <f>세입예산서!J43</f>
        <v>0</v>
      </c>
      <c r="H6" s="78"/>
      <c r="I6" s="79"/>
      <c r="J6" s="72" t="s">
        <v>303</v>
      </c>
      <c r="K6" s="73" t="s">
        <v>304</v>
      </c>
      <c r="L6" s="68">
        <f>세출예산서!H103</f>
        <v>185778</v>
      </c>
      <c r="M6" s="68">
        <f>세출예산서!I103</f>
        <v>188778</v>
      </c>
      <c r="N6" s="286">
        <f>세출예산서!J103</f>
        <v>3000</v>
      </c>
    </row>
    <row r="7" spans="1:21" s="97" customFormat="1" ht="36" customHeight="1">
      <c r="A7" s="80" t="s">
        <v>305</v>
      </c>
      <c r="B7" s="81" t="s">
        <v>306</v>
      </c>
      <c r="C7" s="81" t="s">
        <v>296</v>
      </c>
      <c r="D7" s="81" t="s">
        <v>306</v>
      </c>
      <c r="E7" s="68">
        <f>세입예산서!H47</f>
        <v>56400</v>
      </c>
      <c r="F7" s="68">
        <f>세입예산서!I47</f>
        <v>59280</v>
      </c>
      <c r="G7" s="68">
        <f>세입예산서!J47</f>
        <v>2880</v>
      </c>
      <c r="H7" s="80" t="s">
        <v>307</v>
      </c>
      <c r="I7" s="82" t="s">
        <v>308</v>
      </c>
      <c r="J7" s="81" t="s">
        <v>296</v>
      </c>
      <c r="K7" s="81" t="s">
        <v>58</v>
      </c>
      <c r="L7" s="68">
        <f>세출예산서!H169</f>
        <v>63000</v>
      </c>
      <c r="M7" s="68">
        <f>세출예산서!I169</f>
        <v>63000</v>
      </c>
      <c r="N7" s="286">
        <f>세출예산서!J169</f>
        <v>0</v>
      </c>
    </row>
    <row r="8" spans="1:21" s="97" customFormat="1" ht="36" customHeight="1">
      <c r="A8" s="80" t="s">
        <v>309</v>
      </c>
      <c r="B8" s="81" t="s">
        <v>310</v>
      </c>
      <c r="C8" s="81" t="s">
        <v>296</v>
      </c>
      <c r="D8" s="81" t="s">
        <v>310</v>
      </c>
      <c r="E8" s="68">
        <f>세입예산서!H84</f>
        <v>0</v>
      </c>
      <c r="F8" s="68">
        <f>세입예산서!I84</f>
        <v>0</v>
      </c>
      <c r="G8" s="68">
        <f>세입예산서!J84</f>
        <v>0</v>
      </c>
      <c r="H8" s="69" t="s">
        <v>311</v>
      </c>
      <c r="I8" s="70" t="s">
        <v>312</v>
      </c>
      <c r="J8" s="81" t="s">
        <v>296</v>
      </c>
      <c r="K8" s="81" t="s">
        <v>304</v>
      </c>
      <c r="L8" s="68">
        <f>세출예산서!H194</f>
        <v>290536</v>
      </c>
      <c r="M8" s="68">
        <f>세출예산서!I194</f>
        <v>285016</v>
      </c>
      <c r="N8" s="286">
        <f>세출예산서!J194</f>
        <v>-5520</v>
      </c>
    </row>
    <row r="9" spans="1:21" s="97" customFormat="1" ht="36" customHeight="1">
      <c r="A9" s="80" t="s">
        <v>313</v>
      </c>
      <c r="B9" s="81" t="s">
        <v>314</v>
      </c>
      <c r="C9" s="81" t="s">
        <v>296</v>
      </c>
      <c r="D9" s="81" t="s">
        <v>314</v>
      </c>
      <c r="E9" s="68">
        <f>세입예산서!H91</f>
        <v>1206036</v>
      </c>
      <c r="F9" s="68">
        <f>세입예산서!I91</f>
        <v>1272996</v>
      </c>
      <c r="G9" s="68">
        <f>세입예산서!J91</f>
        <v>66960</v>
      </c>
      <c r="H9" s="75"/>
      <c r="I9" s="76"/>
      <c r="J9" s="81" t="s">
        <v>315</v>
      </c>
      <c r="K9" s="81" t="s">
        <v>312</v>
      </c>
      <c r="L9" s="68">
        <f>세출예산서!H240</f>
        <v>13518</v>
      </c>
      <c r="M9" s="68">
        <f>세출예산서!I240</f>
        <v>14402</v>
      </c>
      <c r="N9" s="286">
        <f>세출예산서!J240</f>
        <v>884</v>
      </c>
    </row>
    <row r="10" spans="1:21" s="97" customFormat="1" ht="36" customHeight="1">
      <c r="A10" s="80" t="s">
        <v>316</v>
      </c>
      <c r="B10" s="81" t="s">
        <v>317</v>
      </c>
      <c r="C10" s="81" t="s">
        <v>296</v>
      </c>
      <c r="D10" s="81" t="s">
        <v>317</v>
      </c>
      <c r="E10" s="68">
        <f>세입예산서!H123</f>
        <v>0</v>
      </c>
      <c r="F10" s="68">
        <f>세입예산서!I123</f>
        <v>0</v>
      </c>
      <c r="G10" s="68">
        <f>세입예산서!J123</f>
        <v>0</v>
      </c>
      <c r="H10" s="80" t="s">
        <v>318</v>
      </c>
      <c r="I10" s="81" t="s">
        <v>319</v>
      </c>
      <c r="J10" s="81" t="s">
        <v>296</v>
      </c>
      <c r="K10" s="81" t="s">
        <v>319</v>
      </c>
      <c r="L10" s="68">
        <f>세출예산서!H260</f>
        <v>161400</v>
      </c>
      <c r="M10" s="68">
        <f>세출예산서!I260</f>
        <v>177000</v>
      </c>
      <c r="N10" s="286">
        <f>세출예산서!J260</f>
        <v>15600</v>
      </c>
    </row>
    <row r="11" spans="1:21" s="97" customFormat="1" ht="36" customHeight="1">
      <c r="A11" s="80" t="s">
        <v>320</v>
      </c>
      <c r="B11" s="81" t="s">
        <v>321</v>
      </c>
      <c r="C11" s="81" t="s">
        <v>296</v>
      </c>
      <c r="D11" s="81" t="s">
        <v>321</v>
      </c>
      <c r="E11" s="68">
        <f>세입예산서!H130</f>
        <v>12000</v>
      </c>
      <c r="F11" s="68">
        <f>세입예산서!I130</f>
        <v>12000</v>
      </c>
      <c r="G11" s="68">
        <f>세입예산서!J130</f>
        <v>0</v>
      </c>
      <c r="H11" s="83" t="s">
        <v>322</v>
      </c>
      <c r="I11" s="72" t="s">
        <v>68</v>
      </c>
      <c r="J11" s="72" t="s">
        <v>296</v>
      </c>
      <c r="K11" s="72" t="s">
        <v>68</v>
      </c>
      <c r="L11" s="68">
        <f>세출예산서!H267</f>
        <v>0</v>
      </c>
      <c r="M11" s="68">
        <f>세출예산서!I267</f>
        <v>0</v>
      </c>
      <c r="N11" s="286">
        <f>세출예산서!J267</f>
        <v>0</v>
      </c>
    </row>
    <row r="12" spans="1:21" s="97" customFormat="1" ht="36" customHeight="1">
      <c r="A12" s="83" t="s">
        <v>323</v>
      </c>
      <c r="B12" s="72" t="s">
        <v>324</v>
      </c>
      <c r="C12" s="72" t="s">
        <v>296</v>
      </c>
      <c r="D12" s="72" t="s">
        <v>324</v>
      </c>
      <c r="E12" s="68">
        <f>세입예산서!H143</f>
        <v>121894</v>
      </c>
      <c r="F12" s="68">
        <f>세입예산서!I143</f>
        <v>121893</v>
      </c>
      <c r="G12" s="68">
        <f>세입예산서!J143</f>
        <v>-1</v>
      </c>
      <c r="H12" s="84" t="s">
        <v>325</v>
      </c>
      <c r="I12" s="85" t="s">
        <v>326</v>
      </c>
      <c r="J12" s="72" t="s">
        <v>296</v>
      </c>
      <c r="K12" s="72" t="s">
        <v>327</v>
      </c>
      <c r="L12" s="68">
        <f>세출예산서!H272</f>
        <v>0</v>
      </c>
      <c r="M12" s="68">
        <f>세출예산서!I272</f>
        <v>0</v>
      </c>
      <c r="N12" s="286">
        <f>세출예산서!J272</f>
        <v>0</v>
      </c>
    </row>
    <row r="13" spans="1:21" s="97" customFormat="1" ht="36" customHeight="1">
      <c r="A13" s="84" t="s">
        <v>328</v>
      </c>
      <c r="B13" s="85" t="s">
        <v>329</v>
      </c>
      <c r="C13" s="72" t="s">
        <v>296</v>
      </c>
      <c r="D13" s="72" t="s">
        <v>329</v>
      </c>
      <c r="E13" s="68">
        <f>세입예산서!H159</f>
        <v>12070</v>
      </c>
      <c r="F13" s="68">
        <f>세입예산서!I159</f>
        <v>12070</v>
      </c>
      <c r="G13" s="68">
        <f>세입예산서!J159</f>
        <v>0</v>
      </c>
      <c r="H13" s="83" t="s">
        <v>330</v>
      </c>
      <c r="I13" s="72" t="s">
        <v>71</v>
      </c>
      <c r="J13" s="72" t="s">
        <v>296</v>
      </c>
      <c r="K13" s="72" t="s">
        <v>71</v>
      </c>
      <c r="L13" s="68">
        <f>세출예산서!H279</f>
        <v>5748</v>
      </c>
      <c r="M13" s="68">
        <f>세출예산서!I279</f>
        <v>1087017</v>
      </c>
      <c r="N13" s="286">
        <f>세출예산서!J279</f>
        <v>1081269</v>
      </c>
    </row>
    <row r="14" spans="1:21" s="97" customFormat="1" ht="36" customHeight="1">
      <c r="A14" s="86"/>
      <c r="B14" s="87"/>
      <c r="C14" s="87"/>
      <c r="D14" s="87"/>
      <c r="E14" s="74"/>
      <c r="F14" s="74"/>
      <c r="G14" s="74"/>
      <c r="H14" s="80" t="s">
        <v>331</v>
      </c>
      <c r="I14" s="88" t="s">
        <v>332</v>
      </c>
      <c r="J14" s="72" t="s">
        <v>333</v>
      </c>
      <c r="K14" s="72" t="s">
        <v>332</v>
      </c>
      <c r="L14" s="68">
        <f>세출예산서!H292</f>
        <v>10</v>
      </c>
      <c r="M14" s="68">
        <f>세출예산서!I292</f>
        <v>2010</v>
      </c>
      <c r="N14" s="286">
        <f>세출예산서!J292</f>
        <v>2000</v>
      </c>
    </row>
    <row r="15" spans="1:21" s="97" customFormat="1" ht="36" customHeight="1">
      <c r="A15" s="80"/>
      <c r="B15" s="88"/>
      <c r="C15" s="87"/>
      <c r="D15" s="87"/>
      <c r="E15" s="89"/>
      <c r="F15" s="89"/>
      <c r="G15" s="90"/>
      <c r="H15" s="83" t="s">
        <v>334</v>
      </c>
      <c r="I15" s="72" t="s">
        <v>335</v>
      </c>
      <c r="J15" s="72" t="s">
        <v>333</v>
      </c>
      <c r="K15" s="73" t="s">
        <v>336</v>
      </c>
      <c r="L15" s="68">
        <f>세출예산서!H300</f>
        <v>0</v>
      </c>
      <c r="M15" s="68">
        <f>세출예산서!I300</f>
        <v>0</v>
      </c>
      <c r="N15" s="286">
        <f>세출예산서!J300</f>
        <v>0</v>
      </c>
    </row>
    <row r="16" spans="1:21" s="97" customFormat="1" ht="36" customHeight="1">
      <c r="A16" s="86"/>
      <c r="B16" s="87"/>
      <c r="C16" s="87"/>
      <c r="D16" s="87"/>
      <c r="E16" s="89"/>
      <c r="F16" s="89"/>
      <c r="G16" s="90"/>
      <c r="H16" s="83"/>
      <c r="I16" s="81"/>
      <c r="J16" s="81"/>
      <c r="K16" s="81"/>
      <c r="L16" s="77"/>
      <c r="M16" s="77"/>
      <c r="N16" s="91"/>
    </row>
    <row r="17" spans="1:14" s="97" customFormat="1" ht="36" customHeight="1" thickBot="1">
      <c r="A17" s="1648" t="s">
        <v>337</v>
      </c>
      <c r="B17" s="1649"/>
      <c r="C17" s="1649"/>
      <c r="D17" s="1649"/>
      <c r="E17" s="285">
        <f>SUM(E4:E16)</f>
        <v>1760404</v>
      </c>
      <c r="F17" s="285">
        <f>SUM(F4:F16)</f>
        <v>1835979</v>
      </c>
      <c r="G17" s="285">
        <f>SUM(G4:G16)</f>
        <v>75575</v>
      </c>
      <c r="H17" s="1648" t="s">
        <v>338</v>
      </c>
      <c r="I17" s="1649"/>
      <c r="J17" s="1649"/>
      <c r="K17" s="1649"/>
      <c r="L17" s="285">
        <f>SUM(L4:L16)</f>
        <v>1760404</v>
      </c>
      <c r="M17" s="285">
        <f>SUM(M4:M16)</f>
        <v>1835979</v>
      </c>
      <c r="N17" s="92">
        <f>SUM(N4:N16)</f>
        <v>75575</v>
      </c>
    </row>
    <row r="18" spans="1:14" s="97" customFormat="1">
      <c r="A18" s="93"/>
      <c r="B18" s="93"/>
      <c r="C18" s="93"/>
      <c r="D18" s="93"/>
      <c r="E18" s="93"/>
      <c r="F18" s="93"/>
      <c r="G18" s="94"/>
      <c r="H18" s="94"/>
      <c r="I18" s="94"/>
      <c r="J18" s="94"/>
      <c r="K18" s="94"/>
      <c r="L18" s="1643" t="str">
        <f>표지!B9</f>
        <v>(주)실버랜드</v>
      </c>
      <c r="M18" s="1643"/>
      <c r="N18" s="1643"/>
    </row>
    <row r="19" spans="1:14">
      <c r="F19" s="95"/>
    </row>
  </sheetData>
  <sheetProtection algorithmName="SHA-512" hashValue="6I00sWhXR5+imd2+6Lm0Cc67rX4DrA58sHD5Z4P5dsXAhdPXshPYyJCBPFozpsaqcRrmwexfWhEJuhB36K72Wg==" saltValue="4bX7t2fGmY+LHaoxlGOjmQ==" spinCount="100000" sheet="1" objects="1" scenarios="1"/>
  <mergeCells count="8">
    <mergeCell ref="L18:N18"/>
    <mergeCell ref="A1:N1"/>
    <mergeCell ref="A3:B3"/>
    <mergeCell ref="C3:D3"/>
    <mergeCell ref="H3:I3"/>
    <mergeCell ref="J3:K3"/>
    <mergeCell ref="A17:D17"/>
    <mergeCell ref="H17:K17"/>
  </mergeCells>
  <phoneticPr fontId="1" type="noConversion"/>
  <pageMargins left="0.7" right="0.7" top="0.75" bottom="0.75" header="0.3" footer="0.3"/>
  <pageSetup paperSize="9" scale="47" orientation="portrait" verticalDpi="300" r:id="rId1"/>
  <ignoredErrors>
    <ignoredError sqref="C5:N16 C4:K4 M4:N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15</vt:i4>
      </vt:variant>
      <vt:variant>
        <vt:lpstr>이름 지정된 범위</vt:lpstr>
      </vt:variant>
      <vt:variant>
        <vt:i4>7</vt:i4>
      </vt:variant>
    </vt:vector>
  </HeadingPairs>
  <TitlesOfParts>
    <vt:vector size="22" baseType="lpstr">
      <vt:lpstr>데이터입력</vt:lpstr>
      <vt:lpstr>예산작성자료(추경,다음년도)</vt:lpstr>
      <vt:lpstr>예산평균</vt:lpstr>
      <vt:lpstr>예산실적비교표</vt:lpstr>
      <vt:lpstr>예산업로드양식</vt:lpstr>
      <vt:lpstr>추경예산업로드양식(희망이음)</vt:lpstr>
      <vt:lpstr>표지</vt:lpstr>
      <vt:lpstr>예산총칙</vt:lpstr>
      <vt:lpstr>총괄표</vt:lpstr>
      <vt:lpstr>세입예산서</vt:lpstr>
      <vt:lpstr>세출예산서</vt:lpstr>
      <vt:lpstr>인건비,생계비현황</vt:lpstr>
      <vt:lpstr>차입금사전신고서</vt:lpstr>
      <vt:lpstr>운영충당적립금 계획서</vt:lpstr>
      <vt:lpstr>시설환경개선준비금 계획서</vt:lpstr>
      <vt:lpstr>세입예산서!Print_Area</vt:lpstr>
      <vt:lpstr>세출예산서!Print_Area</vt:lpstr>
      <vt:lpstr>예산실적비교표!Print_Area</vt:lpstr>
      <vt:lpstr>예산총칙!Print_Area</vt:lpstr>
      <vt:lpstr>'인건비,생계비현황'!Print_Area</vt:lpstr>
      <vt:lpstr>총괄표!Print_Area</vt:lpstr>
      <vt:lpstr>표지!Print_Area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이홍섭</dc:creator>
  <cp:lastModifiedBy>msn1</cp:lastModifiedBy>
  <cp:lastPrinted>2022-05-02T08:14:19Z</cp:lastPrinted>
  <dcterms:created xsi:type="dcterms:W3CDTF">2022-04-13T03:13:46Z</dcterms:created>
  <dcterms:modified xsi:type="dcterms:W3CDTF">2026-03-09T06:16:30Z</dcterms:modified>
</cp:coreProperties>
</file>